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80" windowWidth="15795" windowHeight="10125"/>
  </bookViews>
  <sheets>
    <sheet name="Example Wall 4.0 m" sheetId="1" r:id="rId1"/>
    <sheet name="RiskSerializationData" sheetId="8" state="hidden" r:id="rId2"/>
    <sheet name="Schedule" sheetId="2" r:id="rId3"/>
    <sheet name="Calculations" sheetId="3" r:id="rId4"/>
    <sheet name="Inputs" sheetId="5" r:id="rId5"/>
    <sheet name="NN-Predictions" sheetId="6" r:id="rId6"/>
    <sheet name="Analysis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NTLP_VP14B06956178FF2B2">[1]_DSET_DG33D35FFB!$A$140</definedName>
    <definedName name="NTLP_VP164527DD3A54CF4E">[2]_DSET_DG117749ED!$A$140</definedName>
    <definedName name="NTLP_VP1BD938411A46D180">[3]_DSET_DG310241B0!$A$140</definedName>
    <definedName name="NTLP_VP1F386E2528B029E2">[4]_DSET_DG1FF876B5!$A$140</definedName>
    <definedName name="NTLP_VP268B653A2560F3F2">[5]_DSET_DG31387A1E!$A$140</definedName>
    <definedName name="NTLP_VP29C46051328AFDAF">[6]_DSET_DG99F7C4D!$A$140</definedName>
    <definedName name="NTLP_VP2D313515784BB58">[7]_DSET_DG2FAF9EEC!$A$140</definedName>
    <definedName name="NTLP_VP33FA81FC320BAC30">[8]_DSET_DG2A5898F6!$A$140</definedName>
    <definedName name="NTLP_VP3546FED1159E751">[9]_DSET_DG22933055!$A$140</definedName>
    <definedName name="NTLP_VP57959EC387D3997">[10]_DSET_DG279D6228!$A$140</definedName>
    <definedName name="NTLP_VP6BC939B36351DD6">[11]_DSET_DG1E214911!$A$140</definedName>
    <definedName name="NTLP_VPE73B6A718905D1B">[12]_DSET_DG339BDB11!$A$140</definedName>
    <definedName name="Pal_Workbook_GUID" hidden="1">"YKG81GUP89X6QM8ZHB64QMF1"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"False"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 concurrentCalc="0"/>
</workbook>
</file>

<file path=xl/calcChain.xml><?xml version="1.0" encoding="utf-8"?>
<calcChain xmlns="http://schemas.openxmlformats.org/spreadsheetml/2006/main">
  <c r="E17" i="5" l="1"/>
  <c r="E29" i="5"/>
  <c r="H29" i="5"/>
  <c r="E10" i="3"/>
  <c r="I10" i="3"/>
  <c r="J10" i="3"/>
  <c r="K10" i="3"/>
  <c r="L10" i="3"/>
  <c r="P26" i="2"/>
  <c r="P28" i="2"/>
  <c r="Q22" i="2"/>
  <c r="E23" i="5"/>
  <c r="C23" i="5"/>
  <c r="H23" i="5"/>
  <c r="E9" i="3"/>
  <c r="I9" i="3"/>
  <c r="J9" i="3"/>
  <c r="K9" i="3"/>
  <c r="L9" i="3"/>
  <c r="N20" i="2"/>
  <c r="N22" i="2"/>
  <c r="R16" i="2"/>
  <c r="T22" i="2"/>
  <c r="S28" i="2"/>
  <c r="T20" i="2"/>
  <c r="V28" i="2"/>
  <c r="C71" i="3"/>
  <c r="I71" i="3"/>
  <c r="Q17" i="1"/>
  <c r="C5" i="5"/>
  <c r="H5" i="5"/>
  <c r="E3" i="3"/>
  <c r="I3" i="3"/>
  <c r="E5" i="5"/>
  <c r="J3" i="3"/>
  <c r="K3" i="3"/>
  <c r="K17" i="3"/>
  <c r="O17" i="3"/>
  <c r="AB17" i="3"/>
  <c r="AD17" i="3"/>
  <c r="J8" i="1"/>
  <c r="Q8" i="1"/>
  <c r="C11" i="5"/>
  <c r="H11" i="5"/>
  <c r="E5" i="3"/>
  <c r="I5" i="3"/>
  <c r="E11" i="5"/>
  <c r="J5" i="3"/>
  <c r="K5" i="3"/>
  <c r="K34" i="3"/>
  <c r="O34" i="3"/>
  <c r="AB27" i="3"/>
  <c r="AD27" i="3"/>
  <c r="J9" i="1"/>
  <c r="Q9" i="1"/>
  <c r="P6" i="5"/>
  <c r="C18" i="5"/>
  <c r="C19" i="5"/>
  <c r="C20" i="5"/>
  <c r="C17" i="5"/>
  <c r="G17" i="5"/>
  <c r="E7" i="3"/>
  <c r="I7" i="3"/>
  <c r="J7" i="3"/>
  <c r="K7" i="3"/>
  <c r="T17" i="3"/>
  <c r="X17" i="3"/>
  <c r="AB37" i="3"/>
  <c r="AD37" i="3"/>
  <c r="J10" i="1"/>
  <c r="Q10" i="1"/>
  <c r="K44" i="3"/>
  <c r="O44" i="3"/>
  <c r="AB47" i="3"/>
  <c r="AD47" i="3"/>
  <c r="J11" i="1"/>
  <c r="Q11" i="1"/>
  <c r="T38" i="3"/>
  <c r="X38" i="3"/>
  <c r="AG17" i="3"/>
  <c r="AI17" i="3"/>
  <c r="J12" i="1"/>
  <c r="Q12" i="1"/>
  <c r="C35" i="5"/>
  <c r="H35" i="5"/>
  <c r="E11" i="3"/>
  <c r="I11" i="3"/>
  <c r="E35" i="5"/>
  <c r="J11" i="3"/>
  <c r="K11" i="3"/>
  <c r="T54" i="3"/>
  <c r="X54" i="3"/>
  <c r="AG27" i="3"/>
  <c r="AI27" i="3"/>
  <c r="J13" i="1"/>
  <c r="Q13" i="1"/>
  <c r="J14" i="1"/>
  <c r="Q14" i="1"/>
  <c r="Q16" i="1"/>
  <c r="Q18" i="1"/>
  <c r="K19" i="3"/>
  <c r="O19" i="3"/>
  <c r="Q19" i="3"/>
  <c r="K24" i="3"/>
  <c r="N24" i="3"/>
  <c r="L3" i="3"/>
  <c r="O24" i="3"/>
  <c r="P24" i="3"/>
  <c r="AB18" i="3"/>
  <c r="AD18" i="3"/>
  <c r="K8" i="1"/>
  <c r="R8" i="1"/>
  <c r="M36" i="3"/>
  <c r="O36" i="3"/>
  <c r="AB28" i="3"/>
  <c r="AD28" i="3"/>
  <c r="K9" i="1"/>
  <c r="R9" i="1"/>
  <c r="V19" i="3"/>
  <c r="X19" i="3"/>
  <c r="V24" i="3"/>
  <c r="X24" i="3"/>
  <c r="V29" i="3"/>
  <c r="X29" i="3"/>
  <c r="Y33" i="3"/>
  <c r="AB38" i="3"/>
  <c r="AD38" i="3"/>
  <c r="K10" i="1"/>
  <c r="R10" i="1"/>
  <c r="N56" i="3"/>
  <c r="P56" i="3"/>
  <c r="K46" i="3"/>
  <c r="O46" i="3"/>
  <c r="Q46" i="3"/>
  <c r="K51" i="3"/>
  <c r="N51" i="3"/>
  <c r="O51" i="3"/>
  <c r="P51" i="3"/>
  <c r="AB48" i="3"/>
  <c r="AD48" i="3"/>
  <c r="K11" i="1"/>
  <c r="R11" i="1"/>
  <c r="W40" i="3"/>
  <c r="Y40" i="3"/>
  <c r="U45" i="3"/>
  <c r="W45" i="3"/>
  <c r="Y45" i="3"/>
  <c r="Y49" i="3"/>
  <c r="AG18" i="3"/>
  <c r="AI18" i="3"/>
  <c r="K12" i="1"/>
  <c r="R12" i="1"/>
  <c r="K13" i="1"/>
  <c r="R13" i="1"/>
  <c r="K14" i="1"/>
  <c r="R14" i="1"/>
  <c r="R16" i="1"/>
  <c r="C77" i="3"/>
  <c r="I77" i="3"/>
  <c r="R17" i="1"/>
  <c r="R18" i="1"/>
  <c r="D28" i="3"/>
  <c r="H24" i="3"/>
  <c r="C32" i="3"/>
  <c r="C27" i="3"/>
  <c r="C33" i="3"/>
  <c r="C34" i="3"/>
  <c r="M29" i="3"/>
  <c r="O29" i="3"/>
  <c r="Q29" i="3"/>
  <c r="AB19" i="3"/>
  <c r="AD19" i="3"/>
  <c r="L8" i="1"/>
  <c r="S8" i="1"/>
  <c r="L9" i="1"/>
  <c r="S9" i="1"/>
  <c r="L10" i="1"/>
  <c r="S10" i="1"/>
  <c r="H16" i="3"/>
  <c r="H20" i="3"/>
  <c r="K61" i="3"/>
  <c r="G23" i="3"/>
  <c r="G28" i="3"/>
  <c r="G29" i="3"/>
  <c r="M61" i="3"/>
  <c r="O61" i="3"/>
  <c r="Q61" i="3"/>
  <c r="AB49" i="3"/>
  <c r="AD49" i="3"/>
  <c r="L11" i="1"/>
  <c r="S11" i="1"/>
  <c r="L12" i="1"/>
  <c r="S12" i="1"/>
  <c r="L13" i="1"/>
  <c r="S13" i="1"/>
  <c r="L14" i="1"/>
  <c r="S14" i="1"/>
  <c r="S16" i="1"/>
  <c r="C72" i="3"/>
  <c r="I72" i="3"/>
  <c r="C73" i="3"/>
  <c r="C36" i="3"/>
  <c r="C37" i="3"/>
  <c r="E73" i="3"/>
  <c r="I73" i="3"/>
  <c r="C74" i="3"/>
  <c r="E74" i="3"/>
  <c r="H74" i="3"/>
  <c r="I74" i="3"/>
  <c r="C75" i="3"/>
  <c r="G30" i="3"/>
  <c r="G31" i="3"/>
  <c r="E75" i="3"/>
  <c r="I75" i="3"/>
  <c r="C76" i="3"/>
  <c r="E76" i="3"/>
  <c r="H76" i="3"/>
  <c r="I76" i="3"/>
  <c r="S17" i="1"/>
  <c r="S18" i="1"/>
  <c r="M8" i="1"/>
  <c r="T8" i="1"/>
  <c r="M9" i="1"/>
  <c r="T9" i="1"/>
  <c r="M10" i="1"/>
  <c r="T10" i="1"/>
  <c r="M11" i="1"/>
  <c r="T11" i="1"/>
  <c r="M12" i="1"/>
  <c r="T12" i="1"/>
  <c r="M13" i="1"/>
  <c r="T13" i="1"/>
  <c r="X58" i="3"/>
  <c r="AG40" i="3"/>
  <c r="AI40" i="3"/>
  <c r="M14" i="1"/>
  <c r="T14" i="1"/>
  <c r="T16" i="1"/>
  <c r="T18" i="1"/>
  <c r="V18" i="1"/>
  <c r="V19" i="1"/>
  <c r="V20" i="1"/>
  <c r="V23" i="1"/>
  <c r="V24" i="1"/>
  <c r="C16" i="4"/>
  <c r="C15" i="4"/>
  <c r="C14" i="4"/>
  <c r="K38" i="5"/>
  <c r="J38" i="5"/>
  <c r="I38" i="5"/>
  <c r="K35" i="5"/>
  <c r="J35" i="5"/>
  <c r="I35" i="5"/>
  <c r="G35" i="5"/>
  <c r="K32" i="5"/>
  <c r="J32" i="5"/>
  <c r="I32" i="5"/>
  <c r="K29" i="5"/>
  <c r="J29" i="5"/>
  <c r="I29" i="5"/>
  <c r="G29" i="5"/>
  <c r="K26" i="5"/>
  <c r="J26" i="5"/>
  <c r="I26" i="5"/>
  <c r="K23" i="5"/>
  <c r="J23" i="5"/>
  <c r="I23" i="5"/>
  <c r="G23" i="5"/>
  <c r="K20" i="5"/>
  <c r="J20" i="5"/>
  <c r="I20" i="5"/>
  <c r="K17" i="5"/>
  <c r="J17" i="5"/>
  <c r="I17" i="5"/>
  <c r="H17" i="5"/>
  <c r="K14" i="5"/>
  <c r="J14" i="5"/>
  <c r="I14" i="5"/>
  <c r="K11" i="5"/>
  <c r="J11" i="5"/>
  <c r="I11" i="5"/>
  <c r="G11" i="5"/>
  <c r="K8" i="5"/>
  <c r="J8" i="5"/>
  <c r="I8" i="5"/>
  <c r="K5" i="5"/>
  <c r="J5" i="5"/>
  <c r="I5" i="5"/>
  <c r="G5" i="5"/>
  <c r="Q62" i="3"/>
  <c r="P58" i="3"/>
  <c r="AC53" i="3"/>
  <c r="AB51" i="3"/>
  <c r="AC52" i="3"/>
  <c r="Y50" i="3"/>
  <c r="AH43" i="3"/>
  <c r="Y34" i="3"/>
  <c r="AC43" i="3"/>
  <c r="AG41" i="3"/>
  <c r="AH42" i="3"/>
  <c r="AB41" i="3"/>
  <c r="AC42" i="3"/>
  <c r="C41" i="3"/>
  <c r="D41" i="3"/>
  <c r="D42" i="3"/>
  <c r="Q40" i="3"/>
  <c r="G35" i="3"/>
  <c r="H35" i="3"/>
  <c r="H36" i="3"/>
  <c r="AH33" i="3"/>
  <c r="AC33" i="3"/>
  <c r="AG31" i="3"/>
  <c r="AH32" i="3"/>
  <c r="AB31" i="3"/>
  <c r="AC32" i="3"/>
  <c r="Q30" i="3"/>
  <c r="AH23" i="3"/>
  <c r="AC23" i="3"/>
  <c r="AG21" i="3"/>
  <c r="AH22" i="3"/>
  <c r="AB21" i="3"/>
  <c r="AC22" i="3"/>
  <c r="L11" i="3"/>
  <c r="M11" i="3"/>
  <c r="M10" i="3"/>
  <c r="M9" i="3"/>
  <c r="L7" i="3"/>
  <c r="M7" i="3"/>
  <c r="L5" i="3"/>
  <c r="M5" i="3"/>
  <c r="M3" i="3"/>
  <c r="V32" i="2"/>
  <c r="V31" i="2"/>
  <c r="B23" i="2"/>
  <c r="B21" i="2"/>
  <c r="B19" i="2"/>
  <c r="L14" i="2"/>
  <c r="L16" i="2"/>
  <c r="R14" i="2"/>
  <c r="M10" i="2"/>
  <c r="P8" i="2"/>
  <c r="P10" i="2"/>
  <c r="J8" i="2"/>
  <c r="J10" i="2"/>
  <c r="K33" i="1"/>
  <c r="K31" i="1"/>
  <c r="K29" i="1"/>
  <c r="V26" i="1"/>
  <c r="V22" i="1"/>
  <c r="V17" i="1"/>
  <c r="V21" i="1"/>
  <c r="V16" i="1"/>
  <c r="E8" i="5"/>
  <c r="E7" i="5"/>
  <c r="E14" i="5"/>
  <c r="E13" i="5"/>
  <c r="E20" i="5"/>
  <c r="E19" i="5"/>
  <c r="E38" i="5"/>
  <c r="E32" i="5"/>
  <c r="E26" i="5"/>
  <c r="E25" i="5"/>
  <c r="P7" i="5"/>
  <c r="N7" i="5"/>
  <c r="C29" i="5"/>
  <c r="N9" i="5"/>
  <c r="P9" i="5"/>
  <c r="C36" i="5"/>
  <c r="C37" i="5"/>
  <c r="C38" i="5"/>
  <c r="C3" i="3"/>
  <c r="C7" i="3"/>
  <c r="C4" i="3"/>
  <c r="C11" i="3"/>
  <c r="V54" i="3"/>
  <c r="N8" i="5"/>
  <c r="C9" i="3"/>
  <c r="C10" i="3"/>
  <c r="V38" i="3"/>
  <c r="T40" i="3"/>
  <c r="T45" i="3"/>
  <c r="N6" i="5"/>
  <c r="V17" i="3"/>
  <c r="C6" i="3"/>
  <c r="T19" i="3"/>
  <c r="C8" i="3"/>
  <c r="T24" i="3"/>
  <c r="T29" i="3"/>
  <c r="M44" i="3"/>
  <c r="G22" i="3"/>
  <c r="N5" i="5"/>
  <c r="P5" i="5"/>
  <c r="C12" i="5"/>
  <c r="C13" i="5"/>
  <c r="C14" i="5"/>
  <c r="C5" i="3"/>
  <c r="M34" i="3"/>
  <c r="K36" i="3"/>
  <c r="N4" i="5"/>
  <c r="P4" i="5"/>
  <c r="C6" i="5"/>
  <c r="C7" i="5"/>
  <c r="C8" i="5"/>
  <c r="M17" i="3"/>
  <c r="C21" i="3"/>
  <c r="C17" i="3"/>
  <c r="C22" i="3"/>
  <c r="C24" i="3"/>
  <c r="C25" i="3"/>
  <c r="K29" i="3"/>
  <c r="I16" i="2"/>
  <c r="K22" i="2"/>
  <c r="V26" i="2"/>
  <c r="I70" i="3"/>
  <c r="AC17" i="3"/>
  <c r="E8" i="1"/>
  <c r="AC27" i="3"/>
  <c r="E9" i="1"/>
  <c r="AC37" i="3"/>
  <c r="E10" i="1"/>
  <c r="AC47" i="3"/>
  <c r="E11" i="1"/>
  <c r="AH17" i="3"/>
  <c r="E12" i="1"/>
  <c r="AH27" i="3"/>
  <c r="E13" i="1"/>
  <c r="AC18" i="3"/>
  <c r="AC28" i="3"/>
  <c r="AC38" i="3"/>
  <c r="AC48" i="3"/>
  <c r="AH18" i="3"/>
  <c r="AC19" i="3"/>
  <c r="AC49" i="3"/>
  <c r="M28" i="2"/>
  <c r="E10" i="2"/>
  <c r="C12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B10" i="4"/>
  <c r="B9" i="4"/>
  <c r="B8" i="4"/>
  <c r="B7" i="4"/>
  <c r="B6" i="4"/>
  <c r="B5" i="4"/>
  <c r="C13" i="4"/>
  <c r="O28" i="1"/>
  <c r="O32" i="1"/>
  <c r="AN5" i="8"/>
  <c r="AG5" i="8"/>
  <c r="A5" i="8"/>
  <c r="AN4" i="8"/>
  <c r="AG4" i="8"/>
  <c r="A4" i="8"/>
  <c r="AN3" i="8"/>
  <c r="AG3" i="8"/>
  <c r="A3" i="8"/>
  <c r="C32" i="5"/>
  <c r="C31" i="5"/>
  <c r="C30" i="5"/>
  <c r="P8" i="5"/>
  <c r="E31" i="5"/>
  <c r="H2" i="5"/>
  <c r="I78" i="3"/>
  <c r="D20" i="4"/>
  <c r="C20" i="4"/>
  <c r="C23" i="4"/>
  <c r="C22" i="4"/>
  <c r="C21" i="4"/>
  <c r="C18" i="4"/>
  <c r="D23" i="4"/>
  <c r="D22" i="4"/>
  <c r="D21" i="4"/>
  <c r="D18" i="4"/>
  <c r="AI41" i="3"/>
  <c r="C26" i="3"/>
  <c r="AA15" i="1"/>
  <c r="Z15" i="1"/>
  <c r="Y15" i="1"/>
  <c r="H8" i="1"/>
  <c r="H9" i="1"/>
  <c r="H12" i="1"/>
  <c r="G9" i="3"/>
  <c r="G11" i="1"/>
  <c r="O11" i="1"/>
  <c r="G3" i="3"/>
  <c r="G8" i="1"/>
  <c r="O8" i="1"/>
  <c r="G7" i="3"/>
  <c r="H10" i="1"/>
  <c r="G10" i="1"/>
  <c r="O10" i="1"/>
  <c r="G10" i="3"/>
  <c r="G12" i="1"/>
  <c r="O12" i="1"/>
  <c r="G11" i="3"/>
  <c r="G13" i="1"/>
  <c r="O13" i="1"/>
  <c r="H13" i="1"/>
  <c r="H11" i="1"/>
  <c r="AA14" i="1"/>
  <c r="AA13" i="1"/>
  <c r="AA12" i="1"/>
  <c r="AA11" i="1"/>
  <c r="AA10" i="1"/>
  <c r="AA9" i="1"/>
  <c r="Z14" i="1"/>
  <c r="Z13" i="1"/>
  <c r="Z12" i="1"/>
  <c r="Z10" i="1"/>
  <c r="Z9" i="1"/>
  <c r="Y14" i="1"/>
  <c r="Y13" i="1"/>
  <c r="Y9" i="1"/>
  <c r="V14" i="1"/>
  <c r="AA8" i="1"/>
  <c r="AA16" i="1"/>
  <c r="Y10" i="1"/>
  <c r="Y12" i="1"/>
  <c r="AA21" i="1"/>
  <c r="O16" i="2"/>
  <c r="C35" i="3"/>
  <c r="Y11" i="1"/>
  <c r="Z11" i="1"/>
  <c r="AD21" i="3"/>
  <c r="AD51" i="3"/>
  <c r="AI31" i="3"/>
  <c r="AI21" i="3"/>
  <c r="AD41" i="3"/>
  <c r="Y8" i="1"/>
  <c r="Y16" i="1"/>
  <c r="V12" i="1"/>
  <c r="V11" i="1"/>
  <c r="Z8" i="1"/>
  <c r="Z16" i="1"/>
  <c r="V10" i="1"/>
  <c r="V13" i="1"/>
  <c r="V8" i="1"/>
  <c r="Z21" i="1"/>
  <c r="Y21" i="1"/>
  <c r="X21" i="1"/>
  <c r="X20" i="1"/>
  <c r="X8" i="1"/>
  <c r="AD8" i="1"/>
  <c r="X9" i="1"/>
  <c r="AD9" i="1"/>
  <c r="X10" i="1"/>
  <c r="AD10" i="1"/>
  <c r="X11" i="1"/>
  <c r="AD11" i="1"/>
  <c r="X12" i="1"/>
  <c r="AD12" i="1"/>
  <c r="X13" i="1"/>
  <c r="AD13" i="1"/>
  <c r="X14" i="1"/>
  <c r="AD14" i="1"/>
  <c r="AD7" i="1"/>
  <c r="AC7" i="1"/>
  <c r="AD16" i="1"/>
  <c r="AC8" i="1"/>
  <c r="X15" i="1"/>
  <c r="X16" i="1"/>
  <c r="AA17" i="1"/>
  <c r="AC13" i="1"/>
  <c r="AC9" i="1"/>
  <c r="AC10" i="1"/>
  <c r="AC11" i="1"/>
  <c r="AC12" i="1"/>
  <c r="AC14" i="1"/>
  <c r="AA22" i="1"/>
  <c r="V9" i="1"/>
  <c r="AD31" i="3"/>
  <c r="G9" i="1"/>
  <c r="O9" i="1"/>
  <c r="E17" i="1"/>
  <c r="E19" i="1"/>
  <c r="E21" i="1"/>
  <c r="G5" i="3"/>
  <c r="D19" i="4"/>
  <c r="C19" i="4"/>
</calcChain>
</file>

<file path=xl/comments1.xml><?xml version="1.0" encoding="utf-8"?>
<comments xmlns="http://schemas.openxmlformats.org/spreadsheetml/2006/main">
  <authors>
    <author>Sandoval</author>
  </authors>
  <commentList>
    <comment ref="D2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Site conditions
      Equipment
      Weather
      Factor</t>
        </r>
      </text>
    </comment>
    <comment ref="D5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4
      Crew
      Site conditions
      Equipment
      Weather
   Independent Numeric Variables: 1
      Factor</t>
        </r>
      </text>
    </comment>
    <comment ref="D9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Cement
      Conditions
      Weather
      Factor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4
      Crew
      Cement
      Conditions
      Weather
   Independent Numeric Variables: 1
      Factor</t>
        </r>
      </text>
    </comment>
    <comment ref="D16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Concrete
      Conditions
      Producer
      Factor</t>
        </r>
      </text>
    </comment>
    <comment ref="D19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4
      Crew
      Concrete
      Conditions
      Producer
   Independent Numeric Variables: 1
      Factor</t>
        </r>
      </text>
    </comment>
    <comment ref="D23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Site conditions
      Equipment
      Weather
      Factor</t>
        </r>
      </text>
    </comment>
    <comment ref="D26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4
      Crew
      Site conditions
      Equipment
      Weather
   Independent Numeric Variables: 1
      Factor</t>
        </r>
      </text>
    </comment>
    <comment ref="D30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0
   Independent Numeric Variables: 5
      Crew
      Site conditions
      Equipment
      Weather
      Factor</t>
        </r>
      </text>
    </comment>
    <comment ref="D33" authorId="0">
      <text>
        <r>
          <rPr>
            <sz val="9"/>
            <color rgb="FF000000"/>
            <rFont val="Tahoma"/>
            <family val="2"/>
          </rPr>
          <t>NeuralTools Live Prediction Variable
Name of Net: "Net Trained on Data Set #1"
Net Configuration: GRNN Numeric Predictor
Variable Matching: Automatic
   Independent Category Variables: 4
      Crew
      Site conditions
      Equipment
      Weather
   Independent Numeric Variables: 1
      Factor</t>
        </r>
      </text>
    </comment>
  </commentList>
</comments>
</file>

<file path=xl/sharedStrings.xml><?xml version="1.0" encoding="utf-8"?>
<sst xmlns="http://schemas.openxmlformats.org/spreadsheetml/2006/main" count="931" uniqueCount="319">
  <si>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</si>
  <si>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</si>
  <si>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</si>
  <si>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</si>
  <si>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</si>
  <si>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</si>
  <si>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</si>
  <si>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</si>
  <si>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</si>
  <si>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</si>
  <si>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</si>
  <si>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</si>
  <si>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</si>
  <si>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</si>
  <si>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</si>
  <si>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</si>
  <si>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</si>
  <si>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</si>
  <si>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</si>
  <si>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</si>
  <si>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[€]</t>
  </si>
  <si>
    <t>1</t>
  </si>
  <si>
    <t>m</t>
  </si>
  <si>
    <t>1.4</t>
  </si>
  <si>
    <t>m3</t>
  </si>
  <si>
    <t>Pos. 1.4</t>
  </si>
  <si>
    <t>zu 1.3</t>
  </si>
  <si>
    <t>m2</t>
  </si>
  <si>
    <t>Pos. 1.3</t>
  </si>
  <si>
    <t>1.3</t>
  </si>
  <si>
    <t>1.2</t>
  </si>
  <si>
    <t>Stk</t>
  </si>
  <si>
    <t>Pos. 1.2</t>
  </si>
  <si>
    <t>1.1</t>
  </si>
  <si>
    <t>Pos. 1.1</t>
  </si>
  <si>
    <t>zu 1.4</t>
  </si>
  <si>
    <t>1.5</t>
  </si>
  <si>
    <t>ton</t>
  </si>
  <si>
    <t>---</t>
  </si>
  <si>
    <t>Pos. 1.5</t>
  </si>
  <si>
    <t>Kontrolle:</t>
  </si>
  <si>
    <t>=</t>
  </si>
  <si>
    <t>Aktivität</t>
  </si>
  <si>
    <t>Mann (LW)</t>
  </si>
  <si>
    <t>Mann (AW)</t>
  </si>
  <si>
    <t>Aufwand</t>
  </si>
  <si>
    <t>m³</t>
  </si>
  <si>
    <t>m²</t>
  </si>
  <si>
    <t>bzw.</t>
  </si>
  <si>
    <t xml:space="preserve">Nr. </t>
  </si>
  <si>
    <t>Beschreibung</t>
  </si>
  <si>
    <t>FAZ</t>
  </si>
  <si>
    <t>GP</t>
  </si>
  <si>
    <t>FP</t>
  </si>
  <si>
    <t>FEZ</t>
  </si>
  <si>
    <t>SAZ</t>
  </si>
  <si>
    <t>SEZ</t>
  </si>
  <si>
    <t>Start</t>
  </si>
  <si>
    <t>BE</t>
  </si>
  <si>
    <t>Ende</t>
  </si>
  <si>
    <t>a</t>
  </si>
  <si>
    <t>v</t>
  </si>
  <si>
    <t>mon</t>
  </si>
  <si>
    <t>%</t>
  </si>
  <si>
    <t>n</t>
  </si>
  <si>
    <t>zinz</t>
  </si>
  <si>
    <t>A+V</t>
  </si>
  <si>
    <t>NW</t>
  </si>
  <si>
    <t>€</t>
  </si>
  <si>
    <r>
      <rPr>
        <sz val="12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effektiv</t>
    </r>
  </si>
  <si>
    <t>SZ</t>
  </si>
  <si>
    <t>= a + v  bzw. a + z</t>
  </si>
  <si>
    <t>a+v = k</t>
  </si>
  <si>
    <t>per Tag</t>
  </si>
  <si>
    <r>
      <t xml:space="preserve">Rep </t>
    </r>
    <r>
      <rPr>
        <b/>
        <sz val="8"/>
        <color theme="1"/>
        <rFont val="Calibri"/>
        <family val="2"/>
        <scheme val="minor"/>
      </rPr>
      <t>BGL</t>
    </r>
  </si>
  <si>
    <t>zu verrechnen</t>
  </si>
  <si>
    <t>A+V+Rep</t>
  </si>
  <si>
    <r>
      <rPr>
        <sz val="12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BGL (%)</t>
    </r>
  </si>
  <si>
    <t xml:space="preserve">A+V </t>
  </si>
  <si>
    <t>BGL</t>
  </si>
  <si>
    <t>SZ (%)</t>
  </si>
  <si>
    <t>Total</t>
  </si>
  <si>
    <t>l/(Kw*Std)</t>
  </si>
  <si>
    <t>KW</t>
  </si>
  <si>
    <t>Diesel</t>
  </si>
  <si>
    <t>Total Aushub</t>
  </si>
  <si>
    <t>Tag</t>
  </si>
  <si>
    <t>Std</t>
  </si>
  <si>
    <t>Mo</t>
  </si>
  <si>
    <t>Noise and view protection wall</t>
  </si>
  <si>
    <t>Excavation</t>
  </si>
  <si>
    <t>Reinforced concrete foundation</t>
  </si>
  <si>
    <t>Backfill</t>
  </si>
  <si>
    <t>Row</t>
  </si>
  <si>
    <t>Unit</t>
  </si>
  <si>
    <t>Quantity</t>
  </si>
  <si>
    <t>Capacity</t>
  </si>
  <si>
    <t>Steel construction</t>
  </si>
  <si>
    <t>Blinding</t>
  </si>
  <si>
    <t>Brick masonry</t>
  </si>
  <si>
    <t>Prefabricated reinforced concrete columns</t>
  </si>
  <si>
    <t>Wages [€/hr]</t>
  </si>
  <si>
    <t>Aufwand
(Lohn-hr)</t>
  </si>
  <si>
    <t>m³/hr</t>
  </si>
  <si>
    <t>m²/hr</t>
  </si>
  <si>
    <t xml:space="preserve">Mann-hr/m³ </t>
  </si>
  <si>
    <t xml:space="preserve">Mann-hr/Stk </t>
  </si>
  <si>
    <t xml:space="preserve">Mann-hr/m² </t>
  </si>
  <si>
    <t>Cost Types with out supplement per unit</t>
  </si>
  <si>
    <t>Cost Types with out supplement Total</t>
  </si>
  <si>
    <t>Cost Types with supplement Total</t>
  </si>
  <si>
    <t>Unit-price</t>
  </si>
  <si>
    <t>Total-price</t>
  </si>
  <si>
    <t xml:space="preserve">  list of bid items and quantities</t>
  </si>
  <si>
    <t>1. Billing cycle</t>
  </si>
  <si>
    <t>2. Billing cycle</t>
  </si>
  <si>
    <t>Wage-Cost</t>
  </si>
  <si>
    <t>Other-Costs</t>
  </si>
  <si>
    <t xml:space="preserve">Equipment-costs </t>
  </si>
  <si>
    <t>External-costs</t>
  </si>
  <si>
    <t>[€/Unit]</t>
  </si>
  <si>
    <t>[hr/Unit]</t>
  </si>
  <si>
    <t>[Unit/hr]</t>
  </si>
  <si>
    <t>[Unit]</t>
  </si>
  <si>
    <t>[hr]</t>
  </si>
  <si>
    <t>Probability</t>
  </si>
  <si>
    <t>Indirect Costs</t>
  </si>
  <si>
    <t>Risk &amp; Profit</t>
  </si>
  <si>
    <t>Total production cost (SK):</t>
  </si>
  <si>
    <t>Construction time  in Weeks:</t>
  </si>
  <si>
    <t>Basic data</t>
  </si>
  <si>
    <t xml:space="preserve">Kalk-Row: </t>
  </si>
  <si>
    <t>Kalk.-Nr.  /  Short text</t>
  </si>
  <si>
    <t>Sum
Wage-hr</t>
  </si>
  <si>
    <t>on-site overhead</t>
  </si>
  <si>
    <t>Production costs</t>
  </si>
  <si>
    <t>Sum On-Site overhead:</t>
  </si>
  <si>
    <t>Sum Production costs:</t>
  </si>
  <si>
    <t>Sum On site overhead-Wage hours</t>
  </si>
  <si>
    <t>Sum Production Costs-Wage hours</t>
  </si>
  <si>
    <t>Apportionment of indirect costs:</t>
  </si>
  <si>
    <t>Bid Sum (netto):</t>
  </si>
  <si>
    <t>Bid Sum (brutto):</t>
  </si>
  <si>
    <t>Scenarios</t>
  </si>
  <si>
    <t>Sum Direct costs-Wage hours:</t>
  </si>
  <si>
    <t>Sum direct costs:</t>
  </si>
  <si>
    <t>Bill of quantities 
 Nr.</t>
  </si>
  <si>
    <t>Kontroll-
Summe direct costs</t>
  </si>
  <si>
    <t>BS(1)</t>
  </si>
  <si>
    <t>Apportionment in [%]</t>
  </si>
  <si>
    <t>Apportionment absolut in [$]</t>
  </si>
  <si>
    <t>BS(2)</t>
  </si>
  <si>
    <t>Tax rate:</t>
  </si>
  <si>
    <t>Risk and Profit:</t>
  </si>
  <si>
    <t>Total Indirect costs:</t>
  </si>
  <si>
    <t xml:space="preserve">Excavation: </t>
  </si>
  <si>
    <t xml:space="preserve">Blinding: </t>
  </si>
  <si>
    <t xml:space="preserve">Reinforced concrete: </t>
  </si>
  <si>
    <t xml:space="preserve">Prefabricated reinforced concrete columns: </t>
  </si>
  <si>
    <t xml:space="preserve">Brick masonry: </t>
  </si>
  <si>
    <t xml:space="preserve">Backfill: </t>
  </si>
  <si>
    <t>Man</t>
  </si>
  <si>
    <t>Crew</t>
  </si>
  <si>
    <t>Performance</t>
  </si>
  <si>
    <t>Optimistic</t>
  </si>
  <si>
    <t>Expected</t>
  </si>
  <si>
    <t>Pessimistic</t>
  </si>
  <si>
    <t>Simulation</t>
  </si>
  <si>
    <t>Perf.
(Wage-hr)</t>
  </si>
  <si>
    <r>
      <rPr>
        <b/>
        <sz val="22"/>
        <color theme="1"/>
        <rFont val="Arial"/>
        <family val="2"/>
      </rPr>
      <t>Scenario's  confidence interval</t>
    </r>
    <r>
      <rPr>
        <b/>
        <sz val="20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 xml:space="preserve">
</t>
    </r>
    <r>
      <rPr>
        <b/>
        <i/>
        <sz val="18"/>
        <color theme="1"/>
        <rFont val="Arial"/>
        <family val="2"/>
      </rPr>
      <t>10% Optimistic
45% Expected
90% Pessimistic</t>
    </r>
  </si>
  <si>
    <t>Pessimistic (90%)</t>
  </si>
  <si>
    <t>Expected (45%)</t>
  </si>
  <si>
    <t>Optimistic (10%)</t>
  </si>
  <si>
    <t>Activity</t>
  </si>
  <si>
    <t>Performance 
factor</t>
  </si>
  <si>
    <t>Duration
(hr)</t>
  </si>
  <si>
    <t>Rough-Terrain-Crane</t>
  </si>
  <si>
    <t xml:space="preserve">  Backhoe-loader </t>
  </si>
  <si>
    <t>Equipment Costs</t>
  </si>
  <si>
    <t>Per day</t>
  </si>
  <si>
    <t>Per hour</t>
  </si>
  <si>
    <t>Per Day</t>
  </si>
  <si>
    <t>Per Hour</t>
  </si>
  <si>
    <t>Duration</t>
  </si>
  <si>
    <t>Duration (Day)</t>
  </si>
  <si>
    <t>Duration (day)</t>
  </si>
  <si>
    <t>Costs</t>
  </si>
  <si>
    <t>Wage</t>
  </si>
  <si>
    <t>Rep Wage</t>
  </si>
  <si>
    <t>Rep Wage SZ</t>
  </si>
  <si>
    <t>Direct Costs</t>
  </si>
  <si>
    <t>Duration 
(day)</t>
  </si>
  <si>
    <t>Repair</t>
  </si>
  <si>
    <t>Total Excavation</t>
  </si>
  <si>
    <t>Costs. Inv.</t>
  </si>
  <si>
    <t>Total Costs. Inv.</t>
  </si>
  <si>
    <t>Rep total</t>
  </si>
  <si>
    <t>total</t>
  </si>
  <si>
    <t xml:space="preserve">minimum </t>
  </si>
  <si>
    <t>minimum</t>
  </si>
  <si>
    <t>mean</t>
  </si>
  <si>
    <t>mean (45%)</t>
  </si>
  <si>
    <t>maximum</t>
  </si>
  <si>
    <t>Reinforced Concrete Foundation</t>
  </si>
  <si>
    <t>Total Brick masonry</t>
  </si>
  <si>
    <t>Duration 
(Man-hr)</t>
  </si>
  <si>
    <t>Man-hr/m³</t>
  </si>
  <si>
    <t>Man-hr/m²</t>
  </si>
  <si>
    <t>Man-hr</t>
  </si>
  <si>
    <t>€/Man-hr</t>
  </si>
  <si>
    <t>Equipment</t>
  </si>
  <si>
    <t>Sub. Cont.</t>
  </si>
  <si>
    <t>Columns</t>
  </si>
  <si>
    <t>Costs-Columns</t>
  </si>
  <si>
    <t>Engine power</t>
  </si>
  <si>
    <t>Wage hours</t>
  </si>
  <si>
    <t>Supervision</t>
  </si>
  <si>
    <t>Additional Equipment</t>
  </si>
  <si>
    <t xml:space="preserve">Backhoe-loader </t>
  </si>
  <si>
    <t>Mobile Crane</t>
  </si>
  <si>
    <t>Miscellaneous</t>
  </si>
  <si>
    <t>day</t>
  </si>
  <si>
    <t>Workload</t>
  </si>
  <si>
    <t xml:space="preserve">Prefabricated Columns </t>
  </si>
  <si>
    <t>Steel structure</t>
  </si>
  <si>
    <t>Total Reinforced Concrete Foundation</t>
  </si>
  <si>
    <t>Cost types</t>
  </si>
  <si>
    <t>$</t>
  </si>
  <si>
    <t>$ per m³</t>
  </si>
  <si>
    <t>Direct Costs Overview</t>
  </si>
  <si>
    <t xml:space="preserve">Total Blinding/lean concrete </t>
  </si>
  <si>
    <t>Formwork(Foundation)</t>
  </si>
  <si>
    <t>Concrete (Foundation)</t>
  </si>
  <si>
    <t>Steel (Foundation)</t>
  </si>
  <si>
    <t>Concrete Columns</t>
  </si>
  <si>
    <t>€/L</t>
  </si>
  <si>
    <t>€/Month</t>
  </si>
  <si>
    <t>€/ton</t>
  </si>
  <si>
    <t>€/day</t>
  </si>
  <si>
    <t>€/hr</t>
  </si>
  <si>
    <t>€/At</t>
  </si>
  <si>
    <t>€/m³</t>
  </si>
  <si>
    <t>Costs (€/AT)</t>
  </si>
  <si>
    <t>Costs (€/Day)</t>
  </si>
  <si>
    <t>€/m²</t>
  </si>
  <si>
    <t>€/Mo</t>
  </si>
  <si>
    <t>Total (€)</t>
  </si>
  <si>
    <t>Pesimistic (90%)</t>
  </si>
  <si>
    <t>Backfill Foundation</t>
  </si>
  <si>
    <t>Concrete foundation</t>
  </si>
  <si>
    <t>Rework</t>
  </si>
  <si>
    <t>Prefabricated columns</t>
  </si>
  <si>
    <t>clear the site</t>
  </si>
  <si>
    <t>Average Labour (40 hr/Week):</t>
  </si>
  <si>
    <t>Fromwork</t>
  </si>
  <si>
    <t>Reinforcement</t>
  </si>
  <si>
    <t>Concrete</t>
  </si>
  <si>
    <t>Costs-Conc.</t>
  </si>
  <si>
    <t>Costs-Fw.</t>
  </si>
  <si>
    <t>Mortar (m³)</t>
  </si>
  <si>
    <t>Costs-Mort.</t>
  </si>
  <si>
    <t>Materials</t>
  </si>
  <si>
    <t>Piece</t>
  </si>
  <si>
    <t>Piece /hr</t>
  </si>
  <si>
    <t xml:space="preserve">Man-hr/Piece </t>
  </si>
  <si>
    <t>$ per Piece</t>
  </si>
  <si>
    <t>€/Piece</t>
  </si>
  <si>
    <t>€/Unit</t>
  </si>
  <si>
    <t xml:space="preserve">Blinding/lean concrete </t>
  </si>
  <si>
    <t>to settle</t>
  </si>
  <si>
    <t>Considerations to Performance factor</t>
  </si>
  <si>
    <t>Costs-Rf.-C.</t>
  </si>
  <si>
    <t>NN-Prediction</t>
  </si>
  <si>
    <t>Reinforced Concrete</t>
  </si>
  <si>
    <t>Costs-masonry</t>
  </si>
  <si>
    <t xml:space="preserve"> </t>
  </si>
  <si>
    <t>Prediction</t>
  </si>
  <si>
    <t>Target</t>
  </si>
  <si>
    <t>Variation</t>
  </si>
  <si>
    <t>predict</t>
  </si>
  <si>
    <t>Backfil 
Numeric</t>
  </si>
  <si>
    <t>Tag Used</t>
  </si>
  <si>
    <t>Backfil 
Text</t>
  </si>
  <si>
    <t>Blinding
Numeric</t>
  </si>
  <si>
    <t>Blinding
Text</t>
  </si>
  <si>
    <t>Excavation
Numeric</t>
  </si>
  <si>
    <t>Excavation
Text</t>
  </si>
  <si>
    <t>Masonry
Numeric</t>
  </si>
  <si>
    <t>Masonry
Text</t>
  </si>
  <si>
    <t>Reinforced Concrete
Numeric</t>
  </si>
  <si>
    <t>Reinforced Concrete
Text</t>
  </si>
  <si>
    <t>expectedic (45%)</t>
  </si>
  <si>
    <t>expected</t>
  </si>
  <si>
    <t>Contingency</t>
  </si>
  <si>
    <t>Criteria</t>
  </si>
  <si>
    <t>Total Duration</t>
  </si>
  <si>
    <t>Brick Masonry</t>
  </si>
  <si>
    <t>Expected Scenario</t>
  </si>
  <si>
    <t>Optimistic Scenario</t>
  </si>
  <si>
    <t>Pessimistic Scenario</t>
  </si>
  <si>
    <t>Contingency (Expected Scenario)</t>
  </si>
  <si>
    <t>GF1_rK0qDwEACADNAAwjACYAOABcAGUAZgByAH4AqwApAMcALQD//wAAAAABAQEAAQQAAAAAATAAAAABHkR1cmF0aW9uIC8gQ29uY3JldGUgRm91bmRhdGlvbgEAAQEFAAEAAQMBAQD/AQEBAQEAAQEBAAIAAQEBAQEAAQEBAAIAAYIAAiUAHkR1cmF0aW9uIC8gQ29uY3JldGUgRm91bmRhdGlvbgAALwECAAIAswC9AAEBAgGamZmZmZmpPwAAZmZmZmZm7j8AAAUAAQEBAA==</t>
  </si>
  <si>
    <t>&gt;75%</t>
  </si>
  <si>
    <t>&lt;25%</t>
  </si>
  <si>
    <t>&gt;90%</t>
  </si>
  <si>
    <t>GF1_rK0qDwEACADIAAwjACYAOABaAGMAZABwAHwApwApAMIALQD//wAAAAABAQEAAQQAAAAAATAAAAABHENvbmNyZXRlIGZvdW5kYXRpb24gU2NoZWR1bGUBAAEBBQABAAEDAQEA/wEBAQEBAAEBAQACAAEBAQEBAAEBAQACAAGAAAIjABxDb25jcmV0ZSBmb3VuZGF0aW9uIFNjaGVkdWxlAAAvAQIAAgCvALgAAQECAQAAAAAAAPD/AWZmZmZmZu4/AAAFAAEBAQA=</t>
  </si>
  <si>
    <t>GF1_rK0qDwEACAC/AAwjACYAOABVAF4AXwBrAHcAnQApALkALQD//wAAAAABAQEAAQQAAAAAATAAAAABF0NsZWFyIHRoZSBzaXRlIFNjaGVkdWxlAQABAQUAAQABAwEBAP8BAQEBAQABAQEAAgABAQEBAQABAQEAAgABewACHgAXQ2xlYXIgdGhlIHNpdGUgU2NoZWR1bGUAAC8BAgACAKUArwABAQIBmpmZmZmZqT8AAGZmZmZmZu4/AAAFAAEBAQA=</t>
  </si>
  <si>
    <t xml:space="preserve">Blinding lean concrete </t>
  </si>
  <si>
    <t>Contingency %</t>
  </si>
  <si>
    <t>Bliding</t>
  </si>
  <si>
    <t>Prefabricated Columns</t>
  </si>
  <si>
    <t>Reinforced Conrete Foundation</t>
  </si>
  <si>
    <t>Backfilling</t>
  </si>
  <si>
    <t>hr/day</t>
  </si>
  <si>
    <t>Waste</t>
  </si>
  <si>
    <t>Expected (45 %)</t>
  </si>
  <si>
    <t>Duration (d)</t>
  </si>
  <si>
    <t>Difference</t>
  </si>
  <si>
    <t>Alt.- 4.0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</si>
</sst>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"/>
    <numFmt numFmtId="166" formatCode="0.0%"/>
    <numFmt numFmtId="167" formatCode="0.0"/>
    <numFmt numFmtId="168" formatCode="0.0000"/>
    <numFmt numFmtId="169" formatCode="0.000%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i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Arial"/>
      <family val="2"/>
    </font>
    <font>
      <b/>
      <i/>
      <sz val="18"/>
      <color theme="5" tint="-0.249977111117893"/>
      <name val="Arial"/>
      <family val="2"/>
    </font>
    <font>
      <b/>
      <sz val="2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20"/>
      <color theme="5" tint="-0.249977111117893"/>
      <name val="Arial"/>
      <family val="2"/>
    </font>
    <font>
      <b/>
      <i/>
      <sz val="20"/>
      <color theme="4" tint="-0.499984740745262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FF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Tahoma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FF0000"/>
      <name val="Calibri"/>
      <family val="2"/>
    </font>
    <font>
      <b/>
      <i/>
      <sz val="20"/>
      <color theme="9" tint="-0.49998474074526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59999389629810485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indexed="64"/>
      </top>
      <bottom/>
      <diagonal/>
    </border>
    <border>
      <left/>
      <right style="medium">
        <color auto="1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 style="medium">
        <color indexed="64"/>
      </right>
      <top style="dashed">
        <color rgb="FF000000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" fontId="6" fillId="0" borderId="10" xfId="0" quotePrefix="1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right" vertical="center"/>
    </xf>
    <xf numFmtId="4" fontId="8" fillId="4" borderId="13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4" fontId="8" fillId="4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4" fontId="2" fillId="2" borderId="12" xfId="0" applyNumberFormat="1" applyFont="1" applyFill="1" applyBorder="1" applyAlignment="1">
      <alignment horizontal="right" vertical="center"/>
    </xf>
    <xf numFmtId="3" fontId="8" fillId="6" borderId="13" xfId="0" applyNumberFormat="1" applyFont="1" applyFill="1" applyBorder="1" applyAlignment="1">
      <alignment horizontal="right" vertical="center"/>
    </xf>
    <xf numFmtId="3" fontId="8" fillId="6" borderId="10" xfId="0" applyNumberFormat="1" applyFont="1" applyFill="1" applyBorder="1" applyAlignment="1">
      <alignment horizontal="right" vertical="center"/>
    </xf>
    <xf numFmtId="3" fontId="8" fillId="6" borderId="11" xfId="0" applyNumberFormat="1" applyFont="1" applyFill="1" applyBorder="1" applyAlignment="1">
      <alignment horizontal="right" vertical="center"/>
    </xf>
    <xf numFmtId="4" fontId="7" fillId="7" borderId="13" xfId="0" applyNumberFormat="1" applyFont="1" applyFill="1" applyBorder="1" applyAlignment="1">
      <alignment vertical="center"/>
    </xf>
    <xf numFmtId="3" fontId="7" fillId="7" borderId="1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16" fontId="3" fillId="0" borderId="10" xfId="0" quotePrefix="1" applyNumberFormat="1" applyFont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" fontId="2" fillId="7" borderId="13" xfId="0" applyNumberFormat="1" applyFont="1" applyFill="1" applyBorder="1" applyAlignment="1">
      <alignment vertical="center"/>
    </xf>
    <xf numFmtId="3" fontId="2" fillId="7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4" fontId="8" fillId="3" borderId="10" xfId="0" quotePrefix="1" applyNumberFormat="1" applyFont="1" applyFill="1" applyBorder="1" applyAlignment="1">
      <alignment horizontal="center" vertical="center"/>
    </xf>
    <xf numFmtId="4" fontId="8" fillId="3" borderId="11" xfId="0" quotePrefix="1" applyNumberFormat="1" applyFont="1" applyFill="1" applyBorder="1" applyAlignment="1">
      <alignment horizontal="center" vertical="center"/>
    </xf>
    <xf numFmtId="165" fontId="8" fillId="4" borderId="1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6" fontId="3" fillId="0" borderId="20" xfId="0" quotePrefix="1" applyNumberFormat="1" applyFont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right" vertical="center"/>
    </xf>
    <xf numFmtId="4" fontId="3" fillId="4" borderId="23" xfId="0" applyNumberFormat="1" applyFont="1" applyFill="1" applyBorder="1" applyAlignment="1">
      <alignment horizontal="right" vertical="center"/>
    </xf>
    <xf numFmtId="4" fontId="3" fillId="4" borderId="20" xfId="0" applyNumberFormat="1" applyFont="1" applyFill="1" applyBorder="1" applyAlignment="1">
      <alignment horizontal="right" vertical="center"/>
    </xf>
    <xf numFmtId="4" fontId="3" fillId="4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5" borderId="23" xfId="0" applyNumberFormat="1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3" fontId="3" fillId="5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6" borderId="23" xfId="0" applyNumberFormat="1" applyFont="1" applyFill="1" applyBorder="1" applyAlignment="1">
      <alignment horizontal="right" vertical="center"/>
    </xf>
    <xf numFmtId="3" fontId="3" fillId="6" borderId="20" xfId="0" applyNumberFormat="1" applyFont="1" applyFill="1" applyBorder="1" applyAlignment="1">
      <alignment horizontal="right" vertical="center"/>
    </xf>
    <xf numFmtId="3" fontId="3" fillId="6" borderId="21" xfId="0" applyNumberFormat="1" applyFont="1" applyFill="1" applyBorder="1" applyAlignment="1">
      <alignment horizontal="right" vertical="center"/>
    </xf>
    <xf numFmtId="2" fontId="3" fillId="7" borderId="23" xfId="0" applyNumberFormat="1" applyFont="1" applyFill="1" applyBorder="1" applyAlignment="1">
      <alignment vertical="center"/>
    </xf>
    <xf numFmtId="3" fontId="3" fillId="7" borderId="24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quotePrefix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4" fontId="8" fillId="3" borderId="15" xfId="1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10" xfId="0" quotePrefix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8" fillId="3" borderId="37" xfId="1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4" fillId="0" borderId="39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5" fontId="8" fillId="3" borderId="37" xfId="1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6" fontId="8" fillId="3" borderId="37" xfId="1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0" xfId="0" quotePrefix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66" fontId="8" fillId="3" borderId="44" xfId="1" applyNumberFormat="1" applyFont="1" applyFill="1" applyBorder="1" applyAlignment="1">
      <alignment vertical="center"/>
    </xf>
    <xf numFmtId="2" fontId="11" fillId="3" borderId="10" xfId="0" applyNumberFormat="1" applyFont="1" applyFill="1" applyBorder="1" applyAlignment="1">
      <alignment horizontal="center" vertical="center"/>
    </xf>
    <xf numFmtId="0" fontId="8" fillId="0" borderId="4" xfId="0" applyFont="1" applyBorder="1"/>
    <xf numFmtId="2" fontId="11" fillId="3" borderId="51" xfId="0" applyNumberFormat="1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center"/>
    </xf>
    <xf numFmtId="0" fontId="8" fillId="9" borderId="46" xfId="0" applyFont="1" applyFill="1" applyBorder="1" applyAlignment="1">
      <alignment horizontal="center"/>
    </xf>
    <xf numFmtId="2" fontId="11" fillId="10" borderId="51" xfId="0" applyNumberFormat="1" applyFont="1" applyFill="1" applyBorder="1" applyAlignment="1">
      <alignment horizontal="center" vertical="center"/>
    </xf>
    <xf numFmtId="2" fontId="11" fillId="11" borderId="51" xfId="0" applyNumberFormat="1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8" fillId="0" borderId="61" xfId="0" applyFont="1" applyBorder="1"/>
    <xf numFmtId="2" fontId="11" fillId="3" borderId="16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14" fillId="0" borderId="61" xfId="0" applyFont="1" applyBorder="1" applyAlignment="1">
      <alignment horizontal="right"/>
    </xf>
    <xf numFmtId="0" fontId="13" fillId="0" borderId="61" xfId="0" applyFont="1" applyBorder="1"/>
    <xf numFmtId="2" fontId="11" fillId="0" borderId="0" xfId="0" applyNumberFormat="1" applyFont="1" applyFill="1" applyBorder="1" applyAlignment="1">
      <alignment horizontal="center" vertical="center"/>
    </xf>
    <xf numFmtId="2" fontId="8" fillId="0" borderId="61" xfId="0" applyNumberFormat="1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center"/>
    </xf>
    <xf numFmtId="0" fontId="8" fillId="0" borderId="51" xfId="0" applyFont="1" applyBorder="1"/>
    <xf numFmtId="0" fontId="8" fillId="0" borderId="16" xfId="0" applyFont="1" applyBorder="1"/>
    <xf numFmtId="0" fontId="8" fillId="9" borderId="47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0" borderId="5" xfId="0" applyFont="1" applyBorder="1"/>
    <xf numFmtId="0" fontId="8" fillId="0" borderId="14" xfId="0" applyFont="1" applyBorder="1"/>
    <xf numFmtId="2" fontId="11" fillId="3" borderId="52" xfId="0" applyNumberFormat="1" applyFont="1" applyFill="1" applyBorder="1" applyAlignment="1">
      <alignment horizontal="center" vertical="center"/>
    </xf>
    <xf numFmtId="2" fontId="11" fillId="3" borderId="62" xfId="0" applyNumberFormat="1" applyFont="1" applyFill="1" applyBorder="1" applyAlignment="1">
      <alignment horizontal="center" vertical="center"/>
    </xf>
    <xf numFmtId="2" fontId="7" fillId="9" borderId="4" xfId="0" applyNumberFormat="1" applyFont="1" applyFill="1" applyBorder="1" applyAlignment="1">
      <alignment horizontal="center" vertical="center"/>
    </xf>
    <xf numFmtId="2" fontId="7" fillId="9" borderId="61" xfId="0" applyNumberFormat="1" applyFont="1" applyFill="1" applyBorder="1" applyAlignment="1">
      <alignment horizontal="center" vertical="center"/>
    </xf>
    <xf numFmtId="0" fontId="14" fillId="10" borderId="61" xfId="0" applyFont="1" applyFill="1" applyBorder="1" applyAlignment="1">
      <alignment horizontal="right"/>
    </xf>
    <xf numFmtId="2" fontId="11" fillId="10" borderId="67" xfId="0" applyNumberFormat="1" applyFont="1" applyFill="1" applyBorder="1" applyAlignment="1">
      <alignment vertical="center"/>
    </xf>
    <xf numFmtId="2" fontId="11" fillId="10" borderId="66" xfId="0" applyNumberFormat="1" applyFont="1" applyFill="1" applyBorder="1" applyAlignment="1">
      <alignment vertical="center"/>
    </xf>
    <xf numFmtId="2" fontId="11" fillId="10" borderId="68" xfId="0" applyNumberFormat="1" applyFont="1" applyFill="1" applyBorder="1" applyAlignment="1">
      <alignment vertical="center"/>
    </xf>
    <xf numFmtId="0" fontId="14" fillId="12" borderId="63" xfId="0" applyFont="1" applyFill="1" applyBorder="1" applyAlignment="1">
      <alignment horizontal="right"/>
    </xf>
    <xf numFmtId="2" fontId="11" fillId="12" borderId="1" xfId="0" applyNumberFormat="1" applyFont="1" applyFill="1" applyBorder="1" applyAlignment="1">
      <alignment vertical="center"/>
    </xf>
    <xf numFmtId="2" fontId="11" fillId="12" borderId="35" xfId="0" applyNumberFormat="1" applyFont="1" applyFill="1" applyBorder="1" applyAlignment="1">
      <alignment vertical="center"/>
    </xf>
    <xf numFmtId="2" fontId="11" fillId="12" borderId="3" xfId="0" applyNumberFormat="1" applyFont="1" applyFill="1" applyBorder="1" applyAlignment="1">
      <alignment vertical="center"/>
    </xf>
    <xf numFmtId="2" fontId="11" fillId="0" borderId="9" xfId="0" applyNumberFormat="1" applyFont="1" applyFill="1" applyBorder="1" applyAlignment="1">
      <alignment vertical="center"/>
    </xf>
    <xf numFmtId="2" fontId="11" fillId="0" borderId="18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0" fontId="13" fillId="0" borderId="51" xfId="0" applyFont="1" applyBorder="1"/>
    <xf numFmtId="0" fontId="14" fillId="10" borderId="16" xfId="0" applyFont="1" applyFill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12" borderId="35" xfId="0" applyFont="1" applyFill="1" applyBorder="1" applyAlignment="1">
      <alignment horizontal="right"/>
    </xf>
    <xf numFmtId="2" fontId="8" fillId="10" borderId="66" xfId="0" applyNumberFormat="1" applyFont="1" applyFill="1" applyBorder="1" applyAlignment="1">
      <alignment vertical="center"/>
    </xf>
    <xf numFmtId="2" fontId="8" fillId="0" borderId="18" xfId="0" applyNumberFormat="1" applyFont="1" applyFill="1" applyBorder="1" applyAlignment="1">
      <alignment vertical="center"/>
    </xf>
    <xf numFmtId="2" fontId="8" fillId="12" borderId="35" xfId="0" applyNumberFormat="1" applyFont="1" applyFill="1" applyBorder="1" applyAlignment="1">
      <alignment vertical="center"/>
    </xf>
    <xf numFmtId="0" fontId="14" fillId="10" borderId="61" xfId="0" applyFont="1" applyFill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14" fillId="12" borderId="63" xfId="0" applyFont="1" applyFill="1" applyBorder="1" applyAlignment="1">
      <alignment horizontal="left"/>
    </xf>
    <xf numFmtId="0" fontId="14" fillId="10" borderId="16" xfId="0" applyFont="1" applyFill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12" borderId="35" xfId="0" applyFont="1" applyFill="1" applyBorder="1" applyAlignment="1">
      <alignment horizontal="left"/>
    </xf>
    <xf numFmtId="167" fontId="11" fillId="9" borderId="51" xfId="0" applyNumberFormat="1" applyFont="1" applyFill="1" applyBorder="1" applyAlignment="1">
      <alignment horizontal="center" vertical="center"/>
    </xf>
    <xf numFmtId="167" fontId="11" fillId="9" borderId="16" xfId="0" applyNumberFormat="1" applyFont="1" applyFill="1" applyBorder="1" applyAlignment="1">
      <alignment horizontal="center" vertical="center"/>
    </xf>
    <xf numFmtId="2" fontId="11" fillId="10" borderId="4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11" fillId="12" borderId="63" xfId="0" applyNumberFormat="1" applyFont="1" applyFill="1" applyBorder="1" applyAlignment="1">
      <alignment vertical="center"/>
    </xf>
    <xf numFmtId="2" fontId="8" fillId="12" borderId="64" xfId="0" applyNumberFormat="1" applyFont="1" applyFill="1" applyBorder="1" applyAlignment="1">
      <alignment vertical="center"/>
    </xf>
    <xf numFmtId="2" fontId="11" fillId="12" borderId="64" xfId="0" applyNumberFormat="1" applyFont="1" applyFill="1" applyBorder="1" applyAlignment="1">
      <alignment vertical="center"/>
    </xf>
    <xf numFmtId="2" fontId="11" fillId="12" borderId="65" xfId="0" applyNumberFormat="1" applyFont="1" applyFill="1" applyBorder="1" applyAlignment="1">
      <alignment vertical="center"/>
    </xf>
    <xf numFmtId="2" fontId="11" fillId="10" borderId="8" xfId="0" applyNumberFormat="1" applyFont="1" applyFill="1" applyBorder="1" applyAlignment="1">
      <alignment horizontal="center" vertical="center"/>
    </xf>
    <xf numFmtId="0" fontId="13" fillId="0" borderId="16" xfId="0" applyFont="1" applyBorder="1"/>
    <xf numFmtId="0" fontId="0" fillId="0" borderId="51" xfId="0" applyBorder="1"/>
    <xf numFmtId="0" fontId="0" fillId="0" borderId="5" xfId="0" applyBorder="1"/>
    <xf numFmtId="0" fontId="0" fillId="0" borderId="18" xfId="0" applyBorder="1"/>
    <xf numFmtId="0" fontId="0" fillId="0" borderId="12" xfId="0" applyBorder="1"/>
    <xf numFmtId="0" fontId="0" fillId="0" borderId="45" xfId="0" applyBorder="1"/>
    <xf numFmtId="0" fontId="0" fillId="0" borderId="22" xfId="0" applyBorder="1"/>
    <xf numFmtId="0" fontId="16" fillId="10" borderId="51" xfId="0" applyFont="1" applyFill="1" applyBorder="1"/>
    <xf numFmtId="0" fontId="16" fillId="10" borderId="18" xfId="0" applyFont="1" applyFill="1" applyBorder="1"/>
    <xf numFmtId="0" fontId="16" fillId="10" borderId="45" xfId="0" applyFont="1" applyFill="1" applyBorder="1"/>
    <xf numFmtId="0" fontId="0" fillId="9" borderId="47" xfId="0" applyFill="1" applyBorder="1"/>
    <xf numFmtId="0" fontId="0" fillId="9" borderId="46" xfId="0" applyFill="1" applyBorder="1"/>
    <xf numFmtId="0" fontId="17" fillId="9" borderId="46" xfId="0" applyFont="1" applyFill="1" applyBorder="1" applyAlignment="1">
      <alignment horizontal="center" vertical="center"/>
    </xf>
    <xf numFmtId="0" fontId="17" fillId="9" borderId="48" xfId="0" applyFont="1" applyFill="1" applyBorder="1" applyAlignment="1">
      <alignment horizontal="center" vertical="center"/>
    </xf>
    <xf numFmtId="0" fontId="17" fillId="9" borderId="47" xfId="0" applyFont="1" applyFill="1" applyBorder="1" applyAlignment="1">
      <alignment horizontal="center" vertical="center"/>
    </xf>
    <xf numFmtId="2" fontId="0" fillId="0" borderId="4" xfId="0" applyNumberFormat="1" applyBorder="1"/>
    <xf numFmtId="2" fontId="0" fillId="0" borderId="9" xfId="0" applyNumberFormat="1" applyBorder="1"/>
    <xf numFmtId="0" fontId="0" fillId="0" borderId="9" xfId="0" applyBorder="1"/>
    <xf numFmtId="2" fontId="0" fillId="0" borderId="19" xfId="0" applyNumberFormat="1" applyBorder="1"/>
    <xf numFmtId="2" fontId="0" fillId="0" borderId="18" xfId="0" applyNumberFormat="1" applyBorder="1"/>
    <xf numFmtId="2" fontId="0" fillId="0" borderId="45" xfId="0" applyNumberFormat="1" applyBorder="1"/>
    <xf numFmtId="1" fontId="0" fillId="0" borderId="0" xfId="0" applyNumberFormat="1"/>
    <xf numFmtId="0" fontId="15" fillId="0" borderId="77" xfId="0" applyFont="1" applyBorder="1" applyAlignment="1">
      <alignment horizontal="left"/>
    </xf>
    <xf numFmtId="0" fontId="15" fillId="0" borderId="78" xfId="0" applyFont="1" applyBorder="1" applyAlignment="1">
      <alignment horizontal="left"/>
    </xf>
    <xf numFmtId="0" fontId="15" fillId="0" borderId="76" xfId="0" applyFont="1" applyBorder="1" applyAlignment="1">
      <alignment horizontal="left"/>
    </xf>
    <xf numFmtId="0" fontId="15" fillId="0" borderId="79" xfId="0" applyFont="1" applyBorder="1" applyAlignment="1">
      <alignment horizontal="left"/>
    </xf>
    <xf numFmtId="0" fontId="15" fillId="0" borderId="80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70" xfId="0" applyFont="1" applyBorder="1" applyAlignment="1">
      <alignment horizontal="left"/>
    </xf>
    <xf numFmtId="0" fontId="15" fillId="0" borderId="71" xfId="0" applyFont="1" applyBorder="1" applyAlignment="1">
      <alignment horizontal="left"/>
    </xf>
    <xf numFmtId="0" fontId="15" fillId="0" borderId="72" xfId="0" applyFont="1" applyBorder="1" applyAlignment="1">
      <alignment horizontal="left"/>
    </xf>
    <xf numFmtId="0" fontId="15" fillId="0" borderId="73" xfId="0" applyFont="1" applyBorder="1" applyAlignment="1">
      <alignment horizontal="left"/>
    </xf>
    <xf numFmtId="1" fontId="15" fillId="0" borderId="73" xfId="0" applyNumberFormat="1" applyFont="1" applyBorder="1" applyAlignment="1">
      <alignment horizontal="left"/>
    </xf>
    <xf numFmtId="1" fontId="15" fillId="0" borderId="76" xfId="0" applyNumberFormat="1" applyFont="1" applyBorder="1" applyAlignment="1">
      <alignment horizontal="left"/>
    </xf>
    <xf numFmtId="1" fontId="15" fillId="0" borderId="77" xfId="0" applyNumberFormat="1" applyFont="1" applyBorder="1" applyAlignment="1">
      <alignment horizontal="left"/>
    </xf>
    <xf numFmtId="1" fontId="15" fillId="0" borderId="78" xfId="0" applyNumberFormat="1" applyFont="1" applyBorder="1" applyAlignment="1">
      <alignment horizontal="left"/>
    </xf>
    <xf numFmtId="1" fontId="15" fillId="0" borderId="79" xfId="0" applyNumberFormat="1" applyFont="1" applyBorder="1" applyAlignment="1">
      <alignment horizontal="left"/>
    </xf>
    <xf numFmtId="1" fontId="15" fillId="0" borderId="80" xfId="0" applyNumberFormat="1" applyFont="1" applyBorder="1" applyAlignment="1">
      <alignment horizontal="left"/>
    </xf>
    <xf numFmtId="1" fontId="15" fillId="0" borderId="3" xfId="0" applyNumberFormat="1" applyFont="1" applyBorder="1" applyAlignment="1">
      <alignment horizontal="left"/>
    </xf>
    <xf numFmtId="0" fontId="0" fillId="0" borderId="50" xfId="0" applyBorder="1"/>
    <xf numFmtId="0" fontId="15" fillId="9" borderId="46" xfId="0" applyFont="1" applyFill="1" applyBorder="1"/>
    <xf numFmtId="0" fontId="15" fillId="9" borderId="49" xfId="0" applyFont="1" applyFill="1" applyBorder="1"/>
    <xf numFmtId="2" fontId="0" fillId="9" borderId="48" xfId="0" applyNumberFormat="1" applyFont="1" applyFill="1" applyBorder="1"/>
    <xf numFmtId="0" fontId="0" fillId="9" borderId="49" xfId="0" applyFill="1" applyBorder="1"/>
    <xf numFmtId="0" fontId="0" fillId="9" borderId="63" xfId="0" applyFill="1" applyBorder="1"/>
    <xf numFmtId="2" fontId="0" fillId="9" borderId="63" xfId="0" applyNumberFormat="1" applyFill="1" applyBorder="1"/>
    <xf numFmtId="0" fontId="0" fillId="9" borderId="65" xfId="0" applyFill="1" applyBorder="1"/>
    <xf numFmtId="0" fontId="0" fillId="9" borderId="3" xfId="0" applyFill="1" applyBorder="1"/>
    <xf numFmtId="0" fontId="0" fillId="9" borderId="1" xfId="0" applyFill="1" applyBorder="1"/>
    <xf numFmtId="2" fontId="0" fillId="9" borderId="1" xfId="0" applyNumberFormat="1" applyFill="1" applyBorder="1"/>
    <xf numFmtId="0" fontId="0" fillId="9" borderId="69" xfId="0" applyFill="1" applyBorder="1"/>
    <xf numFmtId="0" fontId="0" fillId="9" borderId="8" xfId="0" applyFill="1" applyBorder="1"/>
    <xf numFmtId="43" fontId="0" fillId="9" borderId="48" xfId="2" applyFont="1" applyFill="1" applyBorder="1"/>
    <xf numFmtId="43" fontId="0" fillId="9" borderId="6" xfId="2" applyFont="1" applyFill="1" applyBorder="1"/>
    <xf numFmtId="0" fontId="15" fillId="13" borderId="8" xfId="0" applyFont="1" applyFill="1" applyBorder="1"/>
    <xf numFmtId="0" fontId="22" fillId="13" borderId="0" xfId="0" applyFont="1" applyFill="1" applyAlignment="1">
      <alignment horizontal="left" vertical="center" indent="3" readingOrder="1"/>
    </xf>
    <xf numFmtId="0" fontId="0" fillId="13" borderId="64" xfId="0" applyFill="1" applyBorder="1"/>
    <xf numFmtId="44" fontId="0" fillId="13" borderId="65" xfId="3" applyFont="1" applyFill="1" applyBorder="1"/>
    <xf numFmtId="0" fontId="21" fillId="13" borderId="0" xfId="0" applyFont="1" applyFill="1" applyBorder="1" applyAlignment="1">
      <alignment horizontal="right"/>
    </xf>
    <xf numFmtId="0" fontId="15" fillId="13" borderId="46" xfId="0" applyFont="1" applyFill="1" applyBorder="1"/>
    <xf numFmtId="43" fontId="0" fillId="13" borderId="48" xfId="2" applyFont="1" applyFill="1" applyBorder="1"/>
    <xf numFmtId="0" fontId="0" fillId="13" borderId="49" xfId="0" applyFill="1" applyBorder="1"/>
    <xf numFmtId="43" fontId="0" fillId="13" borderId="0" xfId="2" applyFont="1" applyFill="1" applyBorder="1"/>
    <xf numFmtId="0" fontId="0" fillId="13" borderId="8" xfId="0" applyFill="1" applyBorder="1"/>
    <xf numFmtId="0" fontId="18" fillId="13" borderId="0" xfId="0" applyFont="1" applyFill="1" applyAlignment="1">
      <alignment horizontal="left" vertical="center" indent="3" readingOrder="1"/>
    </xf>
    <xf numFmtId="0" fontId="0" fillId="13" borderId="69" xfId="0" applyFill="1" applyBorder="1"/>
    <xf numFmtId="2" fontId="0" fillId="13" borderId="0" xfId="1" applyNumberFormat="1" applyFont="1" applyFill="1" applyBorder="1"/>
    <xf numFmtId="0" fontId="0" fillId="13" borderId="65" xfId="1" applyNumberFormat="1" applyFont="1" applyFill="1" applyBorder="1"/>
    <xf numFmtId="0" fontId="0" fillId="13" borderId="65" xfId="0" applyFill="1" applyBorder="1"/>
    <xf numFmtId="0" fontId="0" fillId="13" borderId="0" xfId="0" applyFill="1" applyBorder="1"/>
    <xf numFmtId="2" fontId="0" fillId="13" borderId="0" xfId="0" applyNumberFormat="1" applyFill="1" applyBorder="1"/>
    <xf numFmtId="0" fontId="0" fillId="13" borderId="35" xfId="0" applyFill="1" applyBorder="1"/>
    <xf numFmtId="2" fontId="0" fillId="13" borderId="2" xfId="0" applyNumberFormat="1" applyFill="1" applyBorder="1"/>
    <xf numFmtId="0" fontId="0" fillId="13" borderId="3" xfId="0" applyFill="1" applyBorder="1"/>
    <xf numFmtId="0" fontId="0" fillId="13" borderId="63" xfId="0" applyFill="1" applyBorder="1"/>
    <xf numFmtId="0" fontId="0" fillId="13" borderId="46" xfId="0" applyFill="1" applyBorder="1"/>
    <xf numFmtId="43" fontId="0" fillId="13" borderId="35" xfId="2" applyFont="1" applyFill="1" applyBorder="1"/>
    <xf numFmtId="0" fontId="0" fillId="13" borderId="0" xfId="0" applyFill="1"/>
    <xf numFmtId="43" fontId="0" fillId="13" borderId="35" xfId="0" applyNumberFormat="1" applyFill="1" applyBorder="1"/>
    <xf numFmtId="0" fontId="15" fillId="9" borderId="46" xfId="0" applyFont="1" applyFill="1" applyBorder="1" applyAlignment="1">
      <alignment horizontal="right"/>
    </xf>
    <xf numFmtId="2" fontId="0" fillId="9" borderId="50" xfId="0" applyNumberFormat="1" applyFill="1" applyBorder="1"/>
    <xf numFmtId="0" fontId="24" fillId="13" borderId="69" xfId="0" applyFont="1" applyFill="1" applyBorder="1"/>
    <xf numFmtId="0" fontId="0" fillId="13" borderId="1" xfId="0" applyFill="1" applyBorder="1"/>
    <xf numFmtId="0" fontId="0" fillId="13" borderId="64" xfId="0" applyFill="1" applyBorder="1" applyAlignment="1">
      <alignment horizontal="center"/>
    </xf>
    <xf numFmtId="2" fontId="21" fillId="13" borderId="12" xfId="1" applyNumberFormat="1" applyFont="1" applyFill="1" applyBorder="1" applyAlignment="1">
      <alignment horizontal="right"/>
    </xf>
    <xf numFmtId="44" fontId="0" fillId="13" borderId="17" xfId="3" applyFont="1" applyFill="1" applyBorder="1"/>
    <xf numFmtId="0" fontId="21" fillId="13" borderId="12" xfId="0" applyFont="1" applyFill="1" applyBorder="1" applyAlignment="1">
      <alignment horizontal="right"/>
    </xf>
    <xf numFmtId="0" fontId="0" fillId="13" borderId="17" xfId="3" applyNumberFormat="1" applyFont="1" applyFill="1" applyBorder="1"/>
    <xf numFmtId="2" fontId="21" fillId="13" borderId="14" xfId="1" applyNumberFormat="1" applyFont="1" applyFill="1" applyBorder="1" applyAlignment="1">
      <alignment horizontal="right"/>
    </xf>
    <xf numFmtId="0" fontId="0" fillId="13" borderId="62" xfId="3" applyNumberFormat="1" applyFont="1" applyFill="1" applyBorder="1"/>
    <xf numFmtId="0" fontId="0" fillId="13" borderId="47" xfId="0" applyFill="1" applyBorder="1"/>
    <xf numFmtId="43" fontId="0" fillId="13" borderId="6" xfId="2" applyFont="1" applyFill="1" applyBorder="1"/>
    <xf numFmtId="0" fontId="0" fillId="0" borderId="0" xfId="0" applyBorder="1"/>
    <xf numFmtId="0" fontId="0" fillId="0" borderId="48" xfId="0" applyBorder="1"/>
    <xf numFmtId="0" fontId="0" fillId="0" borderId="47" xfId="0" applyBorder="1" applyAlignment="1">
      <alignment horizontal="right"/>
    </xf>
    <xf numFmtId="0" fontId="24" fillId="13" borderId="49" xfId="0" applyFont="1" applyFill="1" applyBorder="1"/>
    <xf numFmtId="0" fontId="17" fillId="9" borderId="46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46" xfId="0" applyBorder="1"/>
    <xf numFmtId="0" fontId="15" fillId="9" borderId="46" xfId="0" applyFont="1" applyFill="1" applyBorder="1" applyAlignment="1">
      <alignment horizontal="center" vertical="center"/>
    </xf>
    <xf numFmtId="0" fontId="15" fillId="9" borderId="48" xfId="0" applyFont="1" applyFill="1" applyBorder="1" applyAlignment="1">
      <alignment horizontal="center" vertical="center"/>
    </xf>
    <xf numFmtId="0" fontId="15" fillId="9" borderId="49" xfId="0" applyFont="1" applyFill="1" applyBorder="1" applyAlignment="1">
      <alignment horizontal="center" vertical="center"/>
    </xf>
    <xf numFmtId="43" fontId="0" fillId="0" borderId="46" xfId="2" applyFont="1" applyBorder="1"/>
    <xf numFmtId="0" fontId="0" fillId="13" borderId="16" xfId="3" applyNumberFormat="1" applyFont="1" applyFill="1" applyBorder="1"/>
    <xf numFmtId="0" fontId="0" fillId="13" borderId="18" xfId="3" applyNumberFormat="1" applyFont="1" applyFill="1" applyBorder="1"/>
    <xf numFmtId="0" fontId="0" fillId="13" borderId="45" xfId="3" applyNumberFormat="1" applyFont="1" applyFill="1" applyBorder="1"/>
    <xf numFmtId="2" fontId="21" fillId="13" borderId="51" xfId="1" applyNumberFormat="1" applyFont="1" applyFill="1" applyBorder="1" applyAlignment="1">
      <alignment horizontal="right"/>
    </xf>
    <xf numFmtId="2" fontId="21" fillId="13" borderId="18" xfId="1" applyNumberFormat="1" applyFont="1" applyFill="1" applyBorder="1" applyAlignment="1">
      <alignment horizontal="right"/>
    </xf>
    <xf numFmtId="0" fontId="21" fillId="13" borderId="45" xfId="0" applyFont="1" applyFill="1" applyBorder="1" applyAlignment="1">
      <alignment horizontal="right"/>
    </xf>
    <xf numFmtId="2" fontId="0" fillId="13" borderId="16" xfId="3" applyNumberFormat="1" applyFont="1" applyFill="1" applyBorder="1"/>
    <xf numFmtId="2" fontId="0" fillId="13" borderId="18" xfId="3" applyNumberFormat="1" applyFont="1" applyFill="1" applyBorder="1"/>
    <xf numFmtId="2" fontId="0" fillId="13" borderId="45" xfId="3" applyNumberFormat="1" applyFont="1" applyFill="1" applyBorder="1"/>
    <xf numFmtId="0" fontId="0" fillId="0" borderId="63" xfId="0" applyBorder="1"/>
    <xf numFmtId="0" fontId="0" fillId="0" borderId="1" xfId="0" applyBorder="1"/>
    <xf numFmtId="0" fontId="0" fillId="0" borderId="2" xfId="0" applyBorder="1"/>
    <xf numFmtId="43" fontId="26" fillId="0" borderId="46" xfId="2" applyFont="1" applyBorder="1"/>
    <xf numFmtId="43" fontId="24" fillId="0" borderId="46" xfId="2" applyFont="1" applyBorder="1"/>
    <xf numFmtId="43" fontId="15" fillId="0" borderId="46" xfId="2" applyFont="1" applyBorder="1"/>
    <xf numFmtId="43" fontId="17" fillId="0" borderId="46" xfId="2" applyFont="1" applyBorder="1"/>
    <xf numFmtId="44" fontId="30" fillId="13" borderId="69" xfId="3" applyFont="1" applyFill="1" applyBorder="1"/>
    <xf numFmtId="43" fontId="17" fillId="9" borderId="48" xfId="2" applyFont="1" applyFill="1" applyBorder="1"/>
    <xf numFmtId="43" fontId="17" fillId="9" borderId="0" xfId="2" applyFont="1" applyFill="1"/>
    <xf numFmtId="43" fontId="17" fillId="9" borderId="47" xfId="2" applyFont="1" applyFill="1" applyBorder="1"/>
    <xf numFmtId="43" fontId="17" fillId="9" borderId="46" xfId="0" applyNumberFormat="1" applyFont="1" applyFill="1" applyBorder="1"/>
    <xf numFmtId="0" fontId="0" fillId="0" borderId="65" xfId="0" applyBorder="1"/>
    <xf numFmtId="0" fontId="0" fillId="0" borderId="3" xfId="0" applyBorder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0" fillId="13" borderId="16" xfId="1" applyFont="1" applyFill="1" applyBorder="1"/>
    <xf numFmtId="9" fontId="0" fillId="13" borderId="18" xfId="1" applyFont="1" applyFill="1" applyBorder="1"/>
    <xf numFmtId="9" fontId="0" fillId="13" borderId="45" xfId="1" applyFont="1" applyFill="1" applyBorder="1"/>
    <xf numFmtId="9" fontId="24" fillId="0" borderId="49" xfId="1" applyFont="1" applyBorder="1"/>
    <xf numFmtId="0" fontId="0" fillId="13" borderId="0" xfId="0" applyFill="1" applyBorder="1" applyAlignment="1"/>
    <xf numFmtId="0" fontId="0" fillId="13" borderId="65" xfId="0" applyFill="1" applyBorder="1" applyAlignment="1"/>
    <xf numFmtId="0" fontId="0" fillId="13" borderId="2" xfId="0" applyFill="1" applyBorder="1" applyAlignment="1"/>
    <xf numFmtId="0" fontId="0" fillId="13" borderId="3" xfId="0" applyFill="1" applyBorder="1" applyAlignment="1"/>
    <xf numFmtId="0" fontId="17" fillId="0" borderId="47" xfId="0" applyFont="1" applyBorder="1"/>
    <xf numFmtId="0" fontId="31" fillId="9" borderId="47" xfId="0" applyFont="1" applyFill="1" applyBorder="1" applyAlignment="1">
      <alignment horizontal="center" vertical="center"/>
    </xf>
    <xf numFmtId="0" fontId="15" fillId="9" borderId="65" xfId="0" applyFont="1" applyFill="1" applyBorder="1" applyAlignment="1">
      <alignment horizontal="center" vertical="center"/>
    </xf>
    <xf numFmtId="1" fontId="0" fillId="0" borderId="46" xfId="0" applyNumberFormat="1" applyBorder="1"/>
    <xf numFmtId="0" fontId="31" fillId="9" borderId="1" xfId="0" applyFont="1" applyFill="1" applyBorder="1" applyAlignment="1">
      <alignment horizontal="center" vertical="center"/>
    </xf>
    <xf numFmtId="0" fontId="15" fillId="9" borderId="35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44" fontId="17" fillId="0" borderId="46" xfId="3" applyFont="1" applyBorder="1"/>
    <xf numFmtId="43" fontId="0" fillId="0" borderId="46" xfId="0" applyNumberFormat="1" applyBorder="1"/>
    <xf numFmtId="43" fontId="17" fillId="0" borderId="46" xfId="0" applyNumberFormat="1" applyFont="1" applyBorder="1"/>
    <xf numFmtId="44" fontId="28" fillId="0" borderId="46" xfId="3" applyFont="1" applyBorder="1"/>
    <xf numFmtId="2" fontId="0" fillId="0" borderId="46" xfId="0" applyNumberFormat="1" applyBorder="1"/>
    <xf numFmtId="0" fontId="0" fillId="14" borderId="46" xfId="0" applyFill="1" applyBorder="1"/>
    <xf numFmtId="0" fontId="0" fillId="15" borderId="46" xfId="0" applyFill="1" applyBorder="1"/>
    <xf numFmtId="0" fontId="15" fillId="15" borderId="46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15" fillId="14" borderId="46" xfId="0" applyFont="1" applyFill="1" applyBorder="1" applyAlignment="1">
      <alignment horizontal="center"/>
    </xf>
    <xf numFmtId="0" fontId="15" fillId="13" borderId="46" xfId="0" applyFont="1" applyFill="1" applyBorder="1" applyAlignment="1">
      <alignment horizontal="center"/>
    </xf>
    <xf numFmtId="2" fontId="24" fillId="15" borderId="46" xfId="0" applyNumberFormat="1" applyFont="1" applyFill="1" applyBorder="1"/>
    <xf numFmtId="2" fontId="24" fillId="13" borderId="46" xfId="0" applyNumberFormat="1" applyFont="1" applyFill="1" applyBorder="1"/>
    <xf numFmtId="2" fontId="24" fillId="14" borderId="46" xfId="0" applyNumberFormat="1" applyFont="1" applyFill="1" applyBorder="1"/>
    <xf numFmtId="2" fontId="24" fillId="0" borderId="46" xfId="0" applyNumberFormat="1" applyFont="1" applyBorder="1"/>
    <xf numFmtId="44" fontId="0" fillId="0" borderId="46" xfId="0" applyNumberFormat="1" applyBorder="1"/>
    <xf numFmtId="43" fontId="0" fillId="13" borderId="16" xfId="2" applyFont="1" applyFill="1" applyBorder="1"/>
    <xf numFmtId="43" fontId="0" fillId="13" borderId="18" xfId="2" applyFont="1" applyFill="1" applyBorder="1"/>
    <xf numFmtId="43" fontId="0" fillId="13" borderId="45" xfId="2" applyFont="1" applyFill="1" applyBorder="1"/>
    <xf numFmtId="43" fontId="24" fillId="0" borderId="49" xfId="2" applyFont="1" applyBorder="1"/>
    <xf numFmtId="2" fontId="0" fillId="13" borderId="24" xfId="3" applyNumberFormat="1" applyFont="1" applyFill="1" applyBorder="1"/>
    <xf numFmtId="43" fontId="0" fillId="0" borderId="49" xfId="2" applyFont="1" applyBorder="1"/>
    <xf numFmtId="0" fontId="0" fillId="13" borderId="35" xfId="0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16" borderId="46" xfId="0" applyFont="1" applyFill="1" applyBorder="1" applyAlignment="1">
      <alignment horizontal="center"/>
    </xf>
    <xf numFmtId="2" fontId="24" fillId="16" borderId="46" xfId="0" applyNumberFormat="1" applyFont="1" applyFill="1" applyBorder="1"/>
    <xf numFmtId="166" fontId="24" fillId="0" borderId="46" xfId="1" applyNumberFormat="1" applyFont="1" applyBorder="1"/>
    <xf numFmtId="166" fontId="0" fillId="13" borderId="16" xfId="1" applyNumberFormat="1" applyFont="1" applyFill="1" applyBorder="1"/>
    <xf numFmtId="166" fontId="0" fillId="13" borderId="18" xfId="1" applyNumberFormat="1" applyFont="1" applyFill="1" applyBorder="1"/>
    <xf numFmtId="166" fontId="0" fillId="13" borderId="45" xfId="1" applyNumberFormat="1" applyFont="1" applyFill="1" applyBorder="1"/>
    <xf numFmtId="44" fontId="28" fillId="0" borderId="0" xfId="3" applyFont="1" applyBorder="1" applyAlignment="1"/>
    <xf numFmtId="0" fontId="31" fillId="0" borderId="0" xfId="0" applyFont="1" applyFill="1" applyBorder="1" applyAlignment="1"/>
    <xf numFmtId="0" fontId="17" fillId="9" borderId="47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right"/>
    </xf>
    <xf numFmtId="43" fontId="27" fillId="0" borderId="46" xfId="0" applyNumberFormat="1" applyFont="1" applyBorder="1"/>
    <xf numFmtId="0" fontId="27" fillId="0" borderId="2" xfId="0" applyFont="1" applyBorder="1"/>
    <xf numFmtId="44" fontId="27" fillId="0" borderId="46" xfId="3" applyFont="1" applyBorder="1"/>
    <xf numFmtId="0" fontId="17" fillId="9" borderId="50" xfId="0" applyFont="1" applyFill="1" applyBorder="1" applyAlignment="1">
      <alignment horizontal="center" vertical="center" wrapText="1"/>
    </xf>
    <xf numFmtId="44" fontId="0" fillId="0" borderId="51" xfId="3" applyFont="1" applyBorder="1"/>
    <xf numFmtId="43" fontId="0" fillId="0" borderId="51" xfId="0" applyNumberFormat="1" applyBorder="1"/>
    <xf numFmtId="44" fontId="0" fillId="0" borderId="18" xfId="3" applyFont="1" applyBorder="1"/>
    <xf numFmtId="43" fontId="0" fillId="0" borderId="18" xfId="0" applyNumberFormat="1" applyBorder="1"/>
    <xf numFmtId="44" fontId="0" fillId="0" borderId="45" xfId="3" applyFont="1" applyBorder="1"/>
    <xf numFmtId="44" fontId="0" fillId="0" borderId="4" xfId="3" applyFont="1" applyBorder="1"/>
    <xf numFmtId="43" fontId="0" fillId="0" borderId="52" xfId="0" applyNumberFormat="1" applyBorder="1"/>
    <xf numFmtId="44" fontId="0" fillId="0" borderId="9" xfId="3" applyFont="1" applyBorder="1"/>
    <xf numFmtId="43" fontId="0" fillId="0" borderId="17" xfId="0" applyNumberFormat="1" applyBorder="1"/>
    <xf numFmtId="44" fontId="0" fillId="0" borderId="19" xfId="3" applyFont="1" applyBorder="1"/>
    <xf numFmtId="0" fontId="0" fillId="0" borderId="24" xfId="0" applyBorder="1"/>
    <xf numFmtId="0" fontId="15" fillId="0" borderId="4" xfId="0" applyFont="1" applyBorder="1"/>
    <xf numFmtId="0" fontId="15" fillId="0" borderId="9" xfId="0" applyFont="1" applyBorder="1"/>
    <xf numFmtId="0" fontId="15" fillId="0" borderId="19" xfId="0" applyFont="1" applyBorder="1"/>
    <xf numFmtId="0" fontId="15" fillId="0" borderId="51" xfId="0" applyFont="1" applyBorder="1"/>
    <xf numFmtId="0" fontId="15" fillId="0" borderId="18" xfId="0" applyFont="1" applyBorder="1"/>
    <xf numFmtId="0" fontId="15" fillId="0" borderId="45" xfId="0" applyFont="1" applyBorder="1"/>
    <xf numFmtId="44" fontId="0" fillId="0" borderId="45" xfId="0" applyNumberFormat="1" applyBorder="1"/>
    <xf numFmtId="0" fontId="15" fillId="0" borderId="5" xfId="0" applyFont="1" applyBorder="1"/>
    <xf numFmtId="0" fontId="15" fillId="0" borderId="12" xfId="0" applyFont="1" applyBorder="1"/>
    <xf numFmtId="0" fontId="15" fillId="0" borderId="22" xfId="0" applyFont="1" applyBorder="1"/>
    <xf numFmtId="1" fontId="15" fillId="0" borderId="51" xfId="0" applyNumberFormat="1" applyFont="1" applyBorder="1"/>
    <xf numFmtId="1" fontId="15" fillId="0" borderId="18" xfId="0" applyNumberFormat="1" applyFont="1" applyBorder="1"/>
    <xf numFmtId="1" fontId="15" fillId="0" borderId="45" xfId="0" applyNumberFormat="1" applyFont="1" applyBorder="1"/>
    <xf numFmtId="2" fontId="15" fillId="0" borderId="51" xfId="0" applyNumberFormat="1" applyFont="1" applyBorder="1"/>
    <xf numFmtId="2" fontId="15" fillId="0" borderId="18" xfId="0" applyNumberFormat="1" applyFont="1" applyBorder="1"/>
    <xf numFmtId="2" fontId="15" fillId="0" borderId="45" xfId="0" applyNumberFormat="1" applyFont="1" applyBorder="1"/>
    <xf numFmtId="0" fontId="32" fillId="0" borderId="0" xfId="0" applyFont="1" applyAlignment="1">
      <alignment vertical="center"/>
    </xf>
    <xf numFmtId="0" fontId="25" fillId="13" borderId="9" xfId="0" applyFont="1" applyFill="1" applyBorder="1" applyAlignment="1">
      <alignment horizontal="right"/>
    </xf>
    <xf numFmtId="0" fontId="0" fillId="13" borderId="17" xfId="0" applyFill="1" applyBorder="1"/>
    <xf numFmtId="0" fontId="0" fillId="0" borderId="1" xfId="0" applyFill="1" applyBorder="1" applyAlignment="1"/>
    <xf numFmtId="0" fontId="0" fillId="0" borderId="3" xfId="0" applyFill="1" applyBorder="1" applyAlignment="1"/>
    <xf numFmtId="0" fontId="4" fillId="9" borderId="46" xfId="0" applyFont="1" applyFill="1" applyBorder="1" applyAlignment="1">
      <alignment horizontal="center" vertical="center"/>
    </xf>
    <xf numFmtId="10" fontId="11" fillId="16" borderId="46" xfId="1" applyNumberFormat="1" applyFont="1" applyFill="1" applyBorder="1" applyAlignment="1">
      <alignment vertical="center"/>
    </xf>
    <xf numFmtId="10" fontId="15" fillId="16" borderId="46" xfId="1" applyNumberFormat="1" applyFont="1" applyFill="1" applyBorder="1"/>
    <xf numFmtId="44" fontId="0" fillId="0" borderId="16" xfId="0" applyNumberFormat="1" applyBorder="1"/>
    <xf numFmtId="44" fontId="0" fillId="0" borderId="18" xfId="0" applyNumberFormat="1" applyBorder="1"/>
    <xf numFmtId="0" fontId="17" fillId="9" borderId="64" xfId="0" applyFont="1" applyFill="1" applyBorder="1"/>
    <xf numFmtId="0" fontId="36" fillId="9" borderId="16" xfId="0" applyFont="1" applyFill="1" applyBorder="1" applyAlignment="1">
      <alignment horizontal="right"/>
    </xf>
    <xf numFmtId="0" fontId="36" fillId="9" borderId="18" xfId="0" applyFont="1" applyFill="1" applyBorder="1" applyAlignment="1">
      <alignment horizontal="right"/>
    </xf>
    <xf numFmtId="0" fontId="36" fillId="9" borderId="45" xfId="0" applyFont="1" applyFill="1" applyBorder="1" applyAlignment="1">
      <alignment horizontal="right"/>
    </xf>
    <xf numFmtId="10" fontId="0" fillId="0" borderId="16" xfId="0" applyNumberFormat="1" applyBorder="1"/>
    <xf numFmtId="10" fontId="0" fillId="0" borderId="18" xfId="0" applyNumberFormat="1" applyBorder="1"/>
    <xf numFmtId="10" fontId="0" fillId="0" borderId="45" xfId="0" applyNumberFormat="1" applyBorder="1"/>
    <xf numFmtId="0" fontId="0" fillId="0" borderId="0" xfId="0" applyFill="1"/>
    <xf numFmtId="0" fontId="17" fillId="9" borderId="47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43" fontId="0" fillId="0" borderId="0" xfId="0" applyNumberFormat="1"/>
    <xf numFmtId="43" fontId="0" fillId="0" borderId="35" xfId="2" applyFont="1" applyBorder="1"/>
    <xf numFmtId="1" fontId="0" fillId="0" borderId="35" xfId="0" applyNumberFormat="1" applyBorder="1"/>
    <xf numFmtId="0" fontId="0" fillId="0" borderId="35" xfId="0" applyBorder="1"/>
    <xf numFmtId="43" fontId="0" fillId="0" borderId="35" xfId="0" applyNumberFormat="1" applyBorder="1"/>
    <xf numFmtId="0" fontId="17" fillId="9" borderId="46" xfId="0" applyFont="1" applyFill="1" applyBorder="1" applyAlignment="1">
      <alignment horizontal="center"/>
    </xf>
    <xf numFmtId="0" fontId="0" fillId="9" borderId="81" xfId="0" applyFill="1" applyBorder="1"/>
    <xf numFmtId="0" fontId="0" fillId="0" borderId="82" xfId="0" applyBorder="1"/>
    <xf numFmtId="0" fontId="0" fillId="0" borderId="83" xfId="0" applyBorder="1"/>
    <xf numFmtId="43" fontId="0" fillId="0" borderId="82" xfId="2" applyFont="1" applyBorder="1"/>
    <xf numFmtId="44" fontId="0" fillId="0" borderId="82" xfId="0" applyNumberFormat="1" applyBorder="1"/>
    <xf numFmtId="0" fontId="0" fillId="9" borderId="84" xfId="0" applyFill="1" applyBorder="1"/>
    <xf numFmtId="1" fontId="0" fillId="0" borderId="85" xfId="0" applyNumberFormat="1" applyBorder="1"/>
    <xf numFmtId="0" fontId="0" fillId="0" borderId="86" xfId="0" applyBorder="1"/>
    <xf numFmtId="43" fontId="0" fillId="0" borderId="85" xfId="2" applyFont="1" applyBorder="1"/>
    <xf numFmtId="0" fontId="0" fillId="0" borderId="85" xfId="0" applyBorder="1"/>
    <xf numFmtId="44" fontId="0" fillId="0" borderId="85" xfId="0" applyNumberFormat="1" applyBorder="1"/>
    <xf numFmtId="167" fontId="0" fillId="0" borderId="85" xfId="2" applyNumberFormat="1" applyFont="1" applyBorder="1"/>
    <xf numFmtId="9" fontId="26" fillId="0" borderId="86" xfId="0" applyNumberFormat="1" applyFont="1" applyBorder="1"/>
    <xf numFmtId="0" fontId="0" fillId="9" borderId="87" xfId="0" applyFill="1" applyBorder="1"/>
    <xf numFmtId="1" fontId="0" fillId="0" borderId="88" xfId="0" applyNumberFormat="1" applyBorder="1"/>
    <xf numFmtId="0" fontId="0" fillId="0" borderId="89" xfId="0" applyBorder="1"/>
    <xf numFmtId="43" fontId="0" fillId="0" borderId="88" xfId="2" applyFont="1" applyBorder="1"/>
    <xf numFmtId="0" fontId="0" fillId="0" borderId="88" xfId="0" applyBorder="1"/>
    <xf numFmtId="43" fontId="0" fillId="0" borderId="88" xfId="0" applyNumberFormat="1" applyBorder="1"/>
    <xf numFmtId="44" fontId="15" fillId="0" borderId="0" xfId="0" applyNumberFormat="1" applyFont="1"/>
    <xf numFmtId="44" fontId="0" fillId="0" borderId="88" xfId="0" applyNumberFormat="1" applyBorder="1"/>
    <xf numFmtId="1" fontId="0" fillId="0" borderId="82" xfId="0" applyNumberFormat="1" applyBorder="1"/>
    <xf numFmtId="167" fontId="0" fillId="0" borderId="88" xfId="2" applyNumberFormat="1" applyFont="1" applyBorder="1"/>
    <xf numFmtId="9" fontId="26" fillId="0" borderId="89" xfId="0" applyNumberFormat="1" applyFont="1" applyBorder="1"/>
    <xf numFmtId="0" fontId="2" fillId="0" borderId="0" xfId="0" applyFont="1"/>
    <xf numFmtId="2" fontId="11" fillId="15" borderId="51" xfId="0" applyNumberFormat="1" applyFont="1" applyFill="1" applyBorder="1" applyAlignment="1">
      <alignment horizontal="center" vertical="center"/>
    </xf>
    <xf numFmtId="2" fontId="11" fillId="15" borderId="8" xfId="0" applyNumberFormat="1" applyFont="1" applyFill="1" applyBorder="1" applyAlignment="1">
      <alignment horizontal="center" vertical="center"/>
    </xf>
    <xf numFmtId="2" fontId="11" fillId="15" borderId="46" xfId="0" applyNumberFormat="1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/>
    </xf>
    <xf numFmtId="3" fontId="7" fillId="9" borderId="16" xfId="0" applyNumberFormat="1" applyFont="1" applyFill="1" applyBorder="1" applyAlignment="1">
      <alignment vertical="center"/>
    </xf>
    <xf numFmtId="3" fontId="7" fillId="9" borderId="18" xfId="0" applyNumberFormat="1" applyFont="1" applyFill="1" applyBorder="1" applyAlignment="1">
      <alignment vertical="center"/>
    </xf>
    <xf numFmtId="3" fontId="7" fillId="9" borderId="18" xfId="1" applyNumberFormat="1" applyFont="1" applyFill="1" applyBorder="1" applyAlignment="1">
      <alignment vertical="center"/>
    </xf>
    <xf numFmtId="3" fontId="7" fillId="9" borderId="29" xfId="0" applyNumberFormat="1" applyFont="1" applyFill="1" applyBorder="1" applyAlignment="1">
      <alignment vertical="center"/>
    </xf>
    <xf numFmtId="3" fontId="7" fillId="9" borderId="30" xfId="0" applyNumberFormat="1" applyFont="1" applyFill="1" applyBorder="1" applyAlignment="1">
      <alignment vertical="center"/>
    </xf>
    <xf numFmtId="3" fontId="7" fillId="9" borderId="31" xfId="0" applyNumberFormat="1" applyFont="1" applyFill="1" applyBorder="1" applyAlignment="1">
      <alignment vertical="center"/>
    </xf>
    <xf numFmtId="3" fontId="7" fillId="9" borderId="36" xfId="0" applyNumberFormat="1" applyFont="1" applyFill="1" applyBorder="1" applyAlignment="1">
      <alignment vertical="center"/>
    </xf>
    <xf numFmtId="3" fontId="7" fillId="9" borderId="10" xfId="0" applyNumberFormat="1" applyFont="1" applyFill="1" applyBorder="1" applyAlignment="1">
      <alignment vertical="center"/>
    </xf>
    <xf numFmtId="3" fontId="7" fillId="9" borderId="37" xfId="0" applyNumberFormat="1" applyFont="1" applyFill="1" applyBorder="1" applyAlignment="1">
      <alignment horizontal="right" vertical="center"/>
    </xf>
    <xf numFmtId="3" fontId="7" fillId="9" borderId="32" xfId="0" applyNumberFormat="1" applyFont="1" applyFill="1" applyBorder="1" applyAlignment="1">
      <alignment vertical="center"/>
    </xf>
    <xf numFmtId="3" fontId="7" fillId="9" borderId="33" xfId="0" applyNumberFormat="1" applyFont="1" applyFill="1" applyBorder="1" applyAlignment="1">
      <alignment vertical="center"/>
    </xf>
    <xf numFmtId="3" fontId="7" fillId="9" borderId="34" xfId="0" applyNumberFormat="1" applyFont="1" applyFill="1" applyBorder="1" applyAlignment="1">
      <alignment vertical="center"/>
    </xf>
    <xf numFmtId="166" fontId="8" fillId="9" borderId="36" xfId="1" applyNumberFormat="1" applyFont="1" applyFill="1" applyBorder="1" applyAlignment="1">
      <alignment vertical="center"/>
    </xf>
    <xf numFmtId="166" fontId="8" fillId="9" borderId="10" xfId="1" applyNumberFormat="1" applyFont="1" applyFill="1" applyBorder="1" applyAlignment="1">
      <alignment vertical="center"/>
    </xf>
    <xf numFmtId="166" fontId="8" fillId="9" borderId="37" xfId="1" applyNumberFormat="1" applyFont="1" applyFill="1" applyBorder="1" applyAlignment="1">
      <alignment vertical="center"/>
    </xf>
    <xf numFmtId="3" fontId="8" fillId="9" borderId="43" xfId="0" applyNumberFormat="1" applyFont="1" applyFill="1" applyBorder="1" applyAlignment="1">
      <alignment vertical="center"/>
    </xf>
    <xf numFmtId="3" fontId="8" fillId="9" borderId="20" xfId="0" applyNumberFormat="1" applyFont="1" applyFill="1" applyBorder="1" applyAlignment="1">
      <alignment vertical="center"/>
    </xf>
    <xf numFmtId="3" fontId="8" fillId="9" borderId="44" xfId="0" applyNumberFormat="1" applyFont="1" applyFill="1" applyBorder="1" applyAlignment="1">
      <alignment vertical="center"/>
    </xf>
    <xf numFmtId="44" fontId="38" fillId="8" borderId="45" xfId="3" applyFont="1" applyFill="1" applyBorder="1" applyAlignment="1">
      <alignment vertical="center"/>
    </xf>
    <xf numFmtId="0" fontId="40" fillId="0" borderId="0" xfId="0" applyFont="1" applyFill="1" applyBorder="1"/>
    <xf numFmtId="0" fontId="42" fillId="17" borderId="46" xfId="0" applyFont="1" applyFill="1" applyBorder="1" applyAlignment="1">
      <alignment horizontal="center"/>
    </xf>
    <xf numFmtId="168" fontId="40" fillId="0" borderId="46" xfId="0" applyNumberFormat="1" applyFont="1" applyFill="1" applyBorder="1"/>
    <xf numFmtId="10" fontId="40" fillId="0" borderId="46" xfId="1" applyNumberFormat="1" applyFont="1" applyFill="1" applyBorder="1"/>
    <xf numFmtId="0" fontId="40" fillId="17" borderId="50" xfId="0" applyFont="1" applyFill="1" applyBorder="1"/>
    <xf numFmtId="0" fontId="41" fillId="17" borderId="69" xfId="0" applyFont="1" applyFill="1" applyBorder="1"/>
    <xf numFmtId="0" fontId="40" fillId="18" borderId="90" xfId="0" applyFont="1" applyFill="1" applyBorder="1"/>
    <xf numFmtId="0" fontId="40" fillId="18" borderId="92" xfId="0" applyFont="1" applyFill="1" applyBorder="1"/>
    <xf numFmtId="0" fontId="40" fillId="18" borderId="94" xfId="0" applyFont="1" applyFill="1" applyBorder="1"/>
    <xf numFmtId="164" fontId="41" fillId="18" borderId="95" xfId="0" applyNumberFormat="1" applyFont="1" applyFill="1" applyBorder="1"/>
    <xf numFmtId="168" fontId="41" fillId="18" borderId="91" xfId="0" applyNumberFormat="1" applyFont="1" applyFill="1" applyBorder="1"/>
    <xf numFmtId="168" fontId="41" fillId="18" borderId="95" xfId="0" applyNumberFormat="1" applyFont="1" applyFill="1" applyBorder="1"/>
    <xf numFmtId="168" fontId="41" fillId="18" borderId="93" xfId="0" applyNumberFormat="1" applyFont="1" applyFill="1" applyBorder="1"/>
    <xf numFmtId="168" fontId="43" fillId="0" borderId="46" xfId="0" applyNumberFormat="1" applyFont="1" applyFill="1" applyBorder="1"/>
    <xf numFmtId="0" fontId="3" fillId="9" borderId="46" xfId="0" applyFont="1" applyFill="1" applyBorder="1" applyAlignment="1">
      <alignment horizontal="center" vertical="center"/>
    </xf>
    <xf numFmtId="0" fontId="46" fillId="9" borderId="46" xfId="0" applyFont="1" applyFill="1" applyBorder="1" applyAlignment="1">
      <alignment horizontal="center"/>
    </xf>
    <xf numFmtId="0" fontId="15" fillId="0" borderId="82" xfId="0" applyFont="1" applyBorder="1"/>
    <xf numFmtId="0" fontId="15" fillId="0" borderId="85" xfId="0" applyFont="1" applyBorder="1"/>
    <xf numFmtId="0" fontId="15" fillId="0" borderId="88" xfId="0" applyFont="1" applyBorder="1"/>
    <xf numFmtId="0" fontId="47" fillId="0" borderId="82" xfId="0" applyFont="1" applyBorder="1"/>
    <xf numFmtId="0" fontId="47" fillId="0" borderId="85" xfId="0" applyFont="1" applyBorder="1"/>
    <xf numFmtId="0" fontId="47" fillId="0" borderId="88" xfId="0" applyFont="1" applyBorder="1"/>
    <xf numFmtId="168" fontId="45" fillId="0" borderId="46" xfId="0" applyNumberFormat="1" applyFont="1" applyFill="1" applyBorder="1"/>
    <xf numFmtId="10" fontId="45" fillId="0" borderId="46" xfId="1" applyNumberFormat="1" applyFont="1" applyFill="1" applyBorder="1"/>
    <xf numFmtId="168" fontId="48" fillId="20" borderId="95" xfId="0" applyNumberFormat="1" applyFont="1" applyFill="1" applyBorder="1"/>
    <xf numFmtId="168" fontId="48" fillId="20" borderId="91" xfId="0" applyNumberFormat="1" applyFont="1" applyFill="1" applyBorder="1"/>
    <xf numFmtId="164" fontId="48" fillId="20" borderId="91" xfId="0" applyNumberFormat="1" applyFont="1" applyFill="1" applyBorder="1"/>
    <xf numFmtId="167" fontId="15" fillId="0" borderId="82" xfId="0" applyNumberFormat="1" applyFont="1" applyBorder="1"/>
    <xf numFmtId="167" fontId="15" fillId="0" borderId="85" xfId="0" applyNumberFormat="1" applyFont="1" applyBorder="1"/>
    <xf numFmtId="167" fontId="15" fillId="0" borderId="88" xfId="0" applyNumberFormat="1" applyFont="1" applyBorder="1"/>
    <xf numFmtId="0" fontId="14" fillId="10" borderId="63" xfId="0" applyFont="1" applyFill="1" applyBorder="1" applyAlignment="1">
      <alignment horizontal="right"/>
    </xf>
    <xf numFmtId="2" fontId="8" fillId="10" borderId="63" xfId="0" applyNumberFormat="1" applyFont="1" applyFill="1" applyBorder="1" applyAlignment="1">
      <alignment horizontal="center" vertical="center"/>
    </xf>
    <xf numFmtId="2" fontId="11" fillId="10" borderId="63" xfId="0" applyNumberFormat="1" applyFont="1" applyFill="1" applyBorder="1" applyAlignment="1">
      <alignment vertical="center"/>
    </xf>
    <xf numFmtId="2" fontId="8" fillId="10" borderId="64" xfId="0" applyNumberFormat="1" applyFont="1" applyFill="1" applyBorder="1" applyAlignment="1">
      <alignment vertical="center"/>
    </xf>
    <xf numFmtId="0" fontId="14" fillId="10" borderId="63" xfId="0" applyFont="1" applyFill="1" applyBorder="1" applyAlignment="1">
      <alignment horizontal="left"/>
    </xf>
    <xf numFmtId="2" fontId="11" fillId="10" borderId="64" xfId="0" applyNumberFormat="1" applyFont="1" applyFill="1" applyBorder="1" applyAlignment="1">
      <alignment vertical="center"/>
    </xf>
    <xf numFmtId="2" fontId="11" fillId="10" borderId="65" xfId="0" applyNumberFormat="1" applyFont="1" applyFill="1" applyBorder="1" applyAlignment="1">
      <alignment vertical="center"/>
    </xf>
    <xf numFmtId="0" fontId="14" fillId="10" borderId="35" xfId="0" applyFont="1" applyFill="1" applyBorder="1" applyAlignment="1">
      <alignment horizontal="right"/>
    </xf>
    <xf numFmtId="2" fontId="11" fillId="10" borderId="1" xfId="0" applyNumberFormat="1" applyFont="1" applyFill="1" applyBorder="1" applyAlignment="1">
      <alignment vertical="center"/>
    </xf>
    <xf numFmtId="2" fontId="8" fillId="10" borderId="35" xfId="0" applyNumberFormat="1" applyFont="1" applyFill="1" applyBorder="1" applyAlignment="1">
      <alignment vertical="center"/>
    </xf>
    <xf numFmtId="0" fontId="14" fillId="10" borderId="35" xfId="0" applyFont="1" applyFill="1" applyBorder="1" applyAlignment="1">
      <alignment horizontal="left"/>
    </xf>
    <xf numFmtId="2" fontId="11" fillId="10" borderId="35" xfId="0" applyNumberFormat="1" applyFont="1" applyFill="1" applyBorder="1" applyAlignment="1">
      <alignment vertical="center"/>
    </xf>
    <xf numFmtId="2" fontId="11" fillId="10" borderId="3" xfId="0" applyNumberFormat="1" applyFont="1" applyFill="1" applyBorder="1" applyAlignment="1">
      <alignment vertical="center"/>
    </xf>
    <xf numFmtId="0" fontId="14" fillId="12" borderId="61" xfId="0" applyFont="1" applyFill="1" applyBorder="1" applyAlignment="1">
      <alignment horizontal="right"/>
    </xf>
    <xf numFmtId="2" fontId="8" fillId="12" borderId="61" xfId="0" applyNumberFormat="1" applyFont="1" applyFill="1" applyBorder="1" applyAlignment="1">
      <alignment horizontal="center" vertical="center"/>
    </xf>
    <xf numFmtId="2" fontId="11" fillId="12" borderId="67" xfId="0" applyNumberFormat="1" applyFont="1" applyFill="1" applyBorder="1" applyAlignment="1">
      <alignment vertical="center"/>
    </xf>
    <xf numFmtId="2" fontId="8" fillId="12" borderId="66" xfId="0" applyNumberFormat="1" applyFont="1" applyFill="1" applyBorder="1" applyAlignment="1">
      <alignment vertical="center"/>
    </xf>
    <xf numFmtId="0" fontId="14" fillId="12" borderId="61" xfId="0" applyFont="1" applyFill="1" applyBorder="1" applyAlignment="1">
      <alignment horizontal="left"/>
    </xf>
    <xf numFmtId="2" fontId="11" fillId="12" borderId="66" xfId="0" applyNumberFormat="1" applyFont="1" applyFill="1" applyBorder="1" applyAlignment="1">
      <alignment vertical="center"/>
    </xf>
    <xf numFmtId="2" fontId="11" fillId="12" borderId="68" xfId="0" applyNumberFormat="1" applyFont="1" applyFill="1" applyBorder="1" applyAlignment="1">
      <alignment vertical="center"/>
    </xf>
    <xf numFmtId="0" fontId="14" fillId="12" borderId="16" xfId="0" applyFont="1" applyFill="1" applyBorder="1" applyAlignment="1">
      <alignment horizontal="right"/>
    </xf>
    <xf numFmtId="0" fontId="14" fillId="12" borderId="16" xfId="0" applyFont="1" applyFill="1" applyBorder="1" applyAlignment="1">
      <alignment horizontal="left"/>
    </xf>
    <xf numFmtId="3" fontId="0" fillId="0" borderId="0" xfId="0" applyNumberFormat="1"/>
    <xf numFmtId="2" fontId="24" fillId="0" borderId="51" xfId="0" applyNumberFormat="1" applyFont="1" applyBorder="1"/>
    <xf numFmtId="0" fontId="24" fillId="0" borderId="18" xfId="0" applyFont="1" applyBorder="1"/>
    <xf numFmtId="2" fontId="24" fillId="0" borderId="18" xfId="0" applyNumberFormat="1" applyFont="1" applyBorder="1"/>
    <xf numFmtId="2" fontId="24" fillId="0" borderId="45" xfId="0" applyNumberFormat="1" applyFont="1" applyBorder="1"/>
    <xf numFmtId="1" fontId="26" fillId="0" borderId="51" xfId="0" applyNumberFormat="1" applyFont="1" applyBorder="1" applyAlignment="1">
      <alignment horizontal="center"/>
    </xf>
    <xf numFmtId="1" fontId="26" fillId="0" borderId="18" xfId="0" applyNumberFormat="1" applyFont="1" applyBorder="1" applyAlignment="1">
      <alignment horizontal="center"/>
    </xf>
    <xf numFmtId="1" fontId="26" fillId="0" borderId="45" xfId="0" applyNumberFormat="1" applyFont="1" applyBorder="1" applyAlignment="1">
      <alignment horizontal="center"/>
    </xf>
    <xf numFmtId="0" fontId="11" fillId="9" borderId="46" xfId="0" applyFont="1" applyFill="1" applyBorder="1" applyAlignment="1">
      <alignment horizontal="center" vertical="center"/>
    </xf>
    <xf numFmtId="0" fontId="27" fillId="9" borderId="64" xfId="0" applyFont="1" applyFill="1" applyBorder="1"/>
    <xf numFmtId="0" fontId="21" fillId="9" borderId="45" xfId="0" applyFont="1" applyFill="1" applyBorder="1"/>
    <xf numFmtId="0" fontId="21" fillId="9" borderId="18" xfId="0" applyFont="1" applyFill="1" applyBorder="1"/>
    <xf numFmtId="44" fontId="0" fillId="0" borderId="18" xfId="3" applyNumberFormat="1" applyFont="1" applyBorder="1"/>
    <xf numFmtId="0" fontId="21" fillId="9" borderId="16" xfId="0" applyFont="1" applyFill="1" applyBorder="1"/>
    <xf numFmtId="44" fontId="0" fillId="0" borderId="16" xfId="3" applyFont="1" applyBorder="1"/>
    <xf numFmtId="0" fontId="17" fillId="9" borderId="8" xfId="0" applyFont="1" applyFill="1" applyBorder="1"/>
    <xf numFmtId="2" fontId="15" fillId="16" borderId="46" xfId="1" applyNumberFormat="1" applyFont="1" applyFill="1" applyBorder="1"/>
    <xf numFmtId="0" fontId="21" fillId="9" borderId="64" xfId="0" applyFont="1" applyFill="1" applyBorder="1"/>
    <xf numFmtId="2" fontId="0" fillId="0" borderId="16" xfId="0" applyNumberFormat="1" applyBorder="1"/>
    <xf numFmtId="2" fontId="0" fillId="0" borderId="64" xfId="0" applyNumberFormat="1" applyBorder="1"/>
    <xf numFmtId="0" fontId="0" fillId="0" borderId="18" xfId="0" applyNumberFormat="1" applyBorder="1"/>
    <xf numFmtId="0" fontId="0" fillId="0" borderId="45" xfId="0" applyNumberFormat="1" applyBorder="1"/>
    <xf numFmtId="0" fontId="13" fillId="21" borderId="51" xfId="0" applyFont="1" applyFill="1" applyBorder="1"/>
    <xf numFmtId="2" fontId="15" fillId="0" borderId="85" xfId="0" applyNumberFormat="1" applyFont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9" fontId="49" fillId="19" borderId="8" xfId="1" applyNumberFormat="1" applyFont="1" applyFill="1" applyBorder="1" applyAlignment="1">
      <alignment horizontal="center" vertical="center"/>
    </xf>
    <xf numFmtId="169" fontId="49" fillId="19" borderId="35" xfId="1" applyNumberFormat="1" applyFont="1" applyFill="1" applyBorder="1" applyAlignment="1">
      <alignment horizontal="center" vertical="center"/>
    </xf>
    <xf numFmtId="0" fontId="8" fillId="9" borderId="53" xfId="0" applyFont="1" applyFill="1" applyBorder="1" applyAlignment="1">
      <alignment horizontal="center" vertical="center" wrapText="1"/>
    </xf>
    <xf numFmtId="0" fontId="8" fillId="9" borderId="54" xfId="0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/>
    </xf>
    <xf numFmtId="0" fontId="8" fillId="9" borderId="56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57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8" fillId="9" borderId="59" xfId="0" applyFont="1" applyFill="1" applyBorder="1" applyAlignment="1">
      <alignment horizontal="center" vertical="center"/>
    </xf>
    <xf numFmtId="0" fontId="8" fillId="9" borderId="60" xfId="0" applyFont="1" applyFill="1" applyBorder="1" applyAlignment="1">
      <alignment horizontal="center" vertical="center"/>
    </xf>
    <xf numFmtId="43" fontId="33" fillId="15" borderId="47" xfId="2" applyFont="1" applyFill="1" applyBorder="1" applyAlignment="1">
      <alignment horizontal="center" vertical="center"/>
    </xf>
    <xf numFmtId="43" fontId="33" fillId="15" borderId="48" xfId="2" applyFont="1" applyFill="1" applyBorder="1" applyAlignment="1">
      <alignment horizontal="center" vertical="center"/>
    </xf>
    <xf numFmtId="43" fontId="33" fillId="15" borderId="49" xfId="2" applyFont="1" applyFill="1" applyBorder="1" applyAlignment="1">
      <alignment horizontal="center" vertical="center"/>
    </xf>
    <xf numFmtId="0" fontId="32" fillId="9" borderId="47" xfId="0" applyFont="1" applyFill="1" applyBorder="1" applyAlignment="1">
      <alignment horizontal="center"/>
    </xf>
    <xf numFmtId="0" fontId="32" fillId="9" borderId="48" xfId="0" applyFont="1" applyFill="1" applyBorder="1" applyAlignment="1">
      <alignment horizontal="center"/>
    </xf>
    <xf numFmtId="0" fontId="32" fillId="9" borderId="49" xfId="0" applyFont="1" applyFill="1" applyBorder="1" applyAlignment="1">
      <alignment horizontal="center"/>
    </xf>
    <xf numFmtId="44" fontId="33" fillId="15" borderId="47" xfId="3" applyFont="1" applyFill="1" applyBorder="1" applyAlignment="1">
      <alignment horizontal="center" vertical="center"/>
    </xf>
    <xf numFmtId="44" fontId="33" fillId="15" borderId="48" xfId="3" applyFont="1" applyFill="1" applyBorder="1" applyAlignment="1">
      <alignment horizontal="center" vertical="center"/>
    </xf>
    <xf numFmtId="44" fontId="33" fillId="15" borderId="49" xfId="3" applyFont="1" applyFill="1" applyBorder="1" applyAlignment="1">
      <alignment horizontal="center" vertical="center"/>
    </xf>
    <xf numFmtId="43" fontId="37" fillId="10" borderId="47" xfId="2" applyFont="1" applyFill="1" applyBorder="1" applyAlignment="1">
      <alignment horizontal="center" vertical="center"/>
    </xf>
    <xf numFmtId="43" fontId="37" fillId="10" borderId="48" xfId="2" applyFont="1" applyFill="1" applyBorder="1" applyAlignment="1">
      <alignment horizontal="center" vertical="center"/>
    </xf>
    <xf numFmtId="43" fontId="37" fillId="10" borderId="49" xfId="2" applyFont="1" applyFill="1" applyBorder="1" applyAlignment="1">
      <alignment horizontal="center" vertical="center"/>
    </xf>
    <xf numFmtId="0" fontId="32" fillId="9" borderId="50" xfId="0" applyFont="1" applyFill="1" applyBorder="1" applyAlignment="1">
      <alignment horizontal="center" vertical="center"/>
    </xf>
    <xf numFmtId="0" fontId="32" fillId="9" borderId="6" xfId="0" applyFont="1" applyFill="1" applyBorder="1" applyAlignment="1">
      <alignment horizontal="center" vertical="center"/>
    </xf>
    <xf numFmtId="0" fontId="32" fillId="9" borderId="69" xfId="0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/>
    </xf>
    <xf numFmtId="0" fontId="32" fillId="9" borderId="2" xfId="0" applyFont="1" applyFill="1" applyBorder="1" applyAlignment="1">
      <alignment horizontal="center" vertical="center"/>
    </xf>
    <xf numFmtId="0" fontId="32" fillId="9" borderId="3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44" fontId="49" fillId="19" borderId="8" xfId="3" applyFont="1" applyFill="1" applyBorder="1" applyAlignment="1">
      <alignment horizontal="center" vertical="center"/>
    </xf>
    <xf numFmtId="44" fontId="49" fillId="19" borderId="35" xfId="3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wrapText="1"/>
    </xf>
    <xf numFmtId="0" fontId="15" fillId="3" borderId="75" xfId="0" applyFont="1" applyFill="1" applyBorder="1" applyAlignment="1">
      <alignment horizontal="center" wrapText="1"/>
    </xf>
    <xf numFmtId="0" fontId="15" fillId="3" borderId="76" xfId="0" applyFont="1" applyFill="1" applyBorder="1" applyAlignment="1">
      <alignment horizontal="center" wrapText="1"/>
    </xf>
    <xf numFmtId="1" fontId="16" fillId="15" borderId="47" xfId="0" applyNumberFormat="1" applyFont="1" applyFill="1" applyBorder="1" applyAlignment="1">
      <alignment horizontal="center"/>
    </xf>
    <xf numFmtId="1" fontId="16" fillId="15" borderId="48" xfId="0" applyNumberFormat="1" applyFont="1" applyFill="1" applyBorder="1" applyAlignment="1">
      <alignment horizontal="center"/>
    </xf>
    <xf numFmtId="1" fontId="16" fillId="15" borderId="49" xfId="0" applyNumberFormat="1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5" fillId="3" borderId="75" xfId="0" applyFont="1" applyFill="1" applyBorder="1" applyAlignment="1">
      <alignment horizontal="center"/>
    </xf>
    <xf numFmtId="0" fontId="15" fillId="3" borderId="76" xfId="0" applyFont="1" applyFill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6" fillId="9" borderId="49" xfId="0" applyFont="1" applyFill="1" applyBorder="1" applyAlignment="1">
      <alignment horizontal="center"/>
    </xf>
    <xf numFmtId="0" fontId="17" fillId="9" borderId="47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17" fillId="9" borderId="49" xfId="0" applyFont="1" applyFill="1" applyBorder="1" applyAlignment="1">
      <alignment horizontal="center"/>
    </xf>
    <xf numFmtId="0" fontId="35" fillId="9" borderId="47" xfId="0" applyFont="1" applyFill="1" applyBorder="1" applyAlignment="1">
      <alignment horizontal="center" vertical="center"/>
    </xf>
    <xf numFmtId="0" fontId="35" fillId="9" borderId="48" xfId="0" applyFont="1" applyFill="1" applyBorder="1" applyAlignment="1">
      <alignment horizontal="center" vertical="center"/>
    </xf>
    <xf numFmtId="0" fontId="35" fillId="9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1" fillId="9" borderId="47" xfId="0" applyFont="1" applyFill="1" applyBorder="1" applyAlignment="1">
      <alignment horizontal="right"/>
    </xf>
    <xf numFmtId="0" fontId="31" fillId="9" borderId="48" xfId="0" applyFont="1" applyFill="1" applyBorder="1" applyAlignment="1">
      <alignment horizontal="right"/>
    </xf>
    <xf numFmtId="0" fontId="31" fillId="9" borderId="49" xfId="0" applyFont="1" applyFill="1" applyBorder="1" applyAlignment="1">
      <alignment horizontal="right"/>
    </xf>
    <xf numFmtId="0" fontId="27" fillId="9" borderId="47" xfId="0" applyFont="1" applyFill="1" applyBorder="1" applyAlignment="1">
      <alignment horizontal="center"/>
    </xf>
    <xf numFmtId="0" fontId="27" fillId="9" borderId="48" xfId="0" applyFont="1" applyFill="1" applyBorder="1" applyAlignment="1">
      <alignment horizontal="center"/>
    </xf>
    <xf numFmtId="0" fontId="27" fillId="9" borderId="49" xfId="0" applyFont="1" applyFill="1" applyBorder="1" applyAlignment="1">
      <alignment horizontal="center"/>
    </xf>
    <xf numFmtId="0" fontId="15" fillId="9" borderId="47" xfId="0" applyFont="1" applyFill="1" applyBorder="1" applyAlignment="1">
      <alignment horizontal="right" vertical="center"/>
    </xf>
    <xf numFmtId="0" fontId="15" fillId="9" borderId="48" xfId="0" applyFont="1" applyFill="1" applyBorder="1" applyAlignment="1">
      <alignment horizontal="right" vertical="center"/>
    </xf>
    <xf numFmtId="0" fontId="15" fillId="9" borderId="49" xfId="0" applyFont="1" applyFill="1" applyBorder="1" applyAlignment="1">
      <alignment horizontal="right" vertical="center"/>
    </xf>
    <xf numFmtId="0" fontId="0" fillId="13" borderId="8" xfId="0" applyFill="1" applyBorder="1" applyAlignment="1">
      <alignment horizontal="center"/>
    </xf>
    <xf numFmtId="0" fontId="0" fillId="13" borderId="64" xfId="0" applyFill="1" applyBorder="1" applyAlignment="1">
      <alignment horizontal="center"/>
    </xf>
    <xf numFmtId="0" fontId="0" fillId="13" borderId="50" xfId="0" applyFill="1" applyBorder="1" applyAlignment="1">
      <alignment horizontal="center"/>
    </xf>
    <xf numFmtId="0" fontId="0" fillId="13" borderId="69" xfId="0" applyFill="1" applyBorder="1" applyAlignment="1">
      <alignment horizontal="center"/>
    </xf>
    <xf numFmtId="0" fontId="0" fillId="13" borderId="63" xfId="0" applyFill="1" applyBorder="1" applyAlignment="1">
      <alignment horizontal="center"/>
    </xf>
    <xf numFmtId="0" fontId="0" fillId="13" borderId="65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29" fillId="9" borderId="47" xfId="0" applyFont="1" applyFill="1" applyBorder="1" applyAlignment="1">
      <alignment horizontal="center"/>
    </xf>
    <xf numFmtId="0" fontId="29" fillId="9" borderId="48" xfId="0" applyFont="1" applyFill="1" applyBorder="1" applyAlignment="1">
      <alignment horizontal="center"/>
    </xf>
    <xf numFmtId="0" fontId="29" fillId="9" borderId="49" xfId="0" applyFont="1" applyFill="1" applyBorder="1" applyAlignment="1">
      <alignment horizontal="center"/>
    </xf>
    <xf numFmtId="0" fontId="31" fillId="9" borderId="47" xfId="0" applyFont="1" applyFill="1" applyBorder="1" applyAlignment="1">
      <alignment horizontal="center"/>
    </xf>
    <xf numFmtId="0" fontId="31" fillId="9" borderId="48" xfId="0" applyFont="1" applyFill="1" applyBorder="1" applyAlignment="1">
      <alignment horizontal="center"/>
    </xf>
    <xf numFmtId="0" fontId="31" fillId="9" borderId="49" xfId="0" applyFont="1" applyFill="1" applyBorder="1" applyAlignment="1">
      <alignment horizontal="center"/>
    </xf>
    <xf numFmtId="9" fontId="15" fillId="0" borderId="47" xfId="1" applyFont="1" applyBorder="1" applyAlignment="1">
      <alignment horizontal="center"/>
    </xf>
    <xf numFmtId="9" fontId="15" fillId="0" borderId="49" xfId="1" applyFont="1" applyBorder="1" applyAlignment="1">
      <alignment horizontal="center"/>
    </xf>
    <xf numFmtId="44" fontId="15" fillId="0" borderId="47" xfId="3" applyFont="1" applyBorder="1" applyAlignment="1">
      <alignment horizontal="center"/>
    </xf>
    <xf numFmtId="44" fontId="15" fillId="0" borderId="49" xfId="3" applyFont="1" applyBorder="1" applyAlignment="1">
      <alignment horizontal="center"/>
    </xf>
    <xf numFmtId="0" fontId="15" fillId="9" borderId="47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17" fillId="13" borderId="8" xfId="0" applyFont="1" applyFill="1" applyBorder="1" applyAlignment="1">
      <alignment horizontal="center" vertical="center"/>
    </xf>
    <xf numFmtId="0" fontId="17" fillId="13" borderId="64" xfId="0" applyFont="1" applyFill="1" applyBorder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43" fontId="28" fillId="0" borderId="47" xfId="0" applyNumberFormat="1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0" fillId="9" borderId="47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5" fillId="13" borderId="18" xfId="0" applyFont="1" applyFill="1" applyBorder="1" applyAlignment="1">
      <alignment horizontal="center" vertical="center" textRotation="90"/>
    </xf>
    <xf numFmtId="0" fontId="15" fillId="13" borderId="64" xfId="0" applyFont="1" applyFill="1" applyBorder="1" applyAlignment="1">
      <alignment horizontal="center" vertical="center" textRotation="90"/>
    </xf>
    <xf numFmtId="0" fontId="15" fillId="13" borderId="16" xfId="0" applyFont="1" applyFill="1" applyBorder="1" applyAlignment="1">
      <alignment horizontal="center" vertical="center" textRotation="90"/>
    </xf>
    <xf numFmtId="0" fontId="17" fillId="0" borderId="5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8" fillId="9" borderId="47" xfId="0" applyFont="1" applyFill="1" applyBorder="1" applyAlignment="1">
      <alignment horizontal="center"/>
    </xf>
    <xf numFmtId="0" fontId="28" fillId="9" borderId="48" xfId="0" applyFont="1" applyFill="1" applyBorder="1" applyAlignment="1">
      <alignment horizontal="center"/>
    </xf>
    <xf numFmtId="0" fontId="28" fillId="9" borderId="49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horizontal="center" vertical="center"/>
    </xf>
    <xf numFmtId="0" fontId="7" fillId="9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13" borderId="50" xfId="0" applyFont="1" applyFill="1" applyBorder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14" fillId="13" borderId="69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/>
    </xf>
    <xf numFmtId="0" fontId="14" fillId="13" borderId="3" xfId="0" applyFont="1" applyFill="1" applyBorder="1" applyAlignment="1">
      <alignment horizontal="center"/>
    </xf>
    <xf numFmtId="0" fontId="39" fillId="9" borderId="47" xfId="0" applyFont="1" applyFill="1" applyBorder="1" applyAlignment="1">
      <alignment horizontal="center"/>
    </xf>
    <xf numFmtId="0" fontId="39" fillId="9" borderId="48" xfId="0" applyFont="1" applyFill="1" applyBorder="1" applyAlignment="1">
      <alignment horizontal="center"/>
    </xf>
    <xf numFmtId="0" fontId="39" fillId="9" borderId="49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9" borderId="47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/>
    </xf>
    <xf numFmtId="0" fontId="0" fillId="19" borderId="8" xfId="0" applyFill="1" applyBorder="1" applyAlignment="1">
      <alignment horizontal="center" vertical="center" wrapText="1"/>
    </xf>
    <xf numFmtId="0" fontId="0" fillId="19" borderId="64" xfId="0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0" fontId="0" fillId="19" borderId="50" xfId="0" applyFill="1" applyBorder="1" applyAlignment="1">
      <alignment horizontal="center" vertical="center" wrapText="1"/>
    </xf>
    <xf numFmtId="0" fontId="0" fillId="19" borderId="63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</cellXfs>
  <cellStyles count="4">
    <cellStyle name="Komma" xfId="2" builtinId="3"/>
    <cellStyle name="Prozent" xfId="1" builtinId="5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751354</xdr:colOff>
      <xdr:row>9</xdr:row>
      <xdr:rowOff>8405</xdr:rowOff>
    </xdr:from>
    <xdr:to>
      <xdr:col>6</xdr:col>
      <xdr:colOff>28575</xdr:colOff>
      <xdr:row>9</xdr:row>
      <xdr:rowOff>9525</xdr:rowOff>
    </xdr:to>
    <xdr:cxnSp macro="">
      <xdr:nvCxnSpPr>
        <xdr:cNvPr id="3" name="Gewinkelte Verbindung 2"/>
        <xdr:cNvCxnSpPr/>
      </xdr:nvCxnSpPr>
      <xdr:spPr>
        <a:xfrm>
          <a:off x="12952879" y="1941980"/>
          <a:ext cx="801221" cy="1120"/>
        </a:xfrm>
        <a:prstGeom prst="bentConnector3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5445</xdr:colOff>
      <xdr:row>5</xdr:row>
      <xdr:rowOff>0</xdr:rowOff>
    </xdr:from>
    <xdr:to>
      <xdr:col>3</xdr:col>
      <xdr:colOff>11908</xdr:colOff>
      <xdr:row>7</xdr:row>
      <xdr:rowOff>32657</xdr:rowOff>
    </xdr:to>
    <xdr:cxnSp macro="">
      <xdr:nvCxnSpPr>
        <xdr:cNvPr id="5" name="Gewinkelte Verbindung 4"/>
        <xdr:cNvCxnSpPr/>
      </xdr:nvCxnSpPr>
      <xdr:spPr>
        <a:xfrm rot="5400000">
          <a:off x="11243754" y="1376363"/>
          <a:ext cx="413657" cy="6463"/>
        </a:xfrm>
        <a:prstGeom prst="bentConnector3">
          <a:avLst>
            <a:gd name="adj1" fmla="val 53364"/>
          </a:avLst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752475</xdr:colOff>
      <xdr:row>11</xdr:row>
      <xdr:rowOff>28575</xdr:rowOff>
    </xdr:from>
    <xdr:to>
      <xdr:col>8</xdr:col>
      <xdr:colOff>47625</xdr:colOff>
      <xdr:row>15</xdr:row>
      <xdr:rowOff>0</xdr:rowOff>
    </xdr:to>
    <xdr:cxnSp macro="">
      <xdr:nvCxnSpPr>
        <xdr:cNvPr id="13" name="Gewinkelte Verbindung 12"/>
        <xdr:cNvCxnSpPr/>
      </xdr:nvCxnSpPr>
      <xdr:spPr>
        <a:xfrm>
          <a:off x="14478000" y="2352675"/>
          <a:ext cx="819150" cy="742950"/>
        </a:xfrm>
        <a:prstGeom prst="bentConnector3">
          <a:avLst>
            <a:gd name="adj1" fmla="val 1163"/>
          </a:avLst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17</xdr:row>
      <xdr:rowOff>28575</xdr:rowOff>
    </xdr:from>
    <xdr:to>
      <xdr:col>10</xdr:col>
      <xdr:colOff>47625</xdr:colOff>
      <xdr:row>20</xdr:row>
      <xdr:rowOff>190500</xdr:rowOff>
    </xdr:to>
    <xdr:cxnSp macro="">
      <xdr:nvCxnSpPr>
        <xdr:cNvPr id="17" name="Gewinkelte Verbindung 16"/>
        <xdr:cNvCxnSpPr/>
      </xdr:nvCxnSpPr>
      <xdr:spPr>
        <a:xfrm>
          <a:off x="16002000" y="3514725"/>
          <a:ext cx="819150" cy="742950"/>
        </a:xfrm>
        <a:prstGeom prst="bentConnector3">
          <a:avLst>
            <a:gd name="adj1" fmla="val 1163"/>
          </a:avLst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752475</xdr:colOff>
      <xdr:row>23</xdr:row>
      <xdr:rowOff>28575</xdr:rowOff>
    </xdr:from>
    <xdr:to>
      <xdr:col>12</xdr:col>
      <xdr:colOff>47625</xdr:colOff>
      <xdr:row>27</xdr:row>
      <xdr:rowOff>0</xdr:rowOff>
    </xdr:to>
    <xdr:cxnSp macro="">
      <xdr:nvCxnSpPr>
        <xdr:cNvPr id="18" name="Gewinkelte Verbindung 17"/>
        <xdr:cNvCxnSpPr/>
      </xdr:nvCxnSpPr>
      <xdr:spPr>
        <a:xfrm>
          <a:off x="17526000" y="4686300"/>
          <a:ext cx="819150" cy="742950"/>
        </a:xfrm>
        <a:prstGeom prst="bentConnector3">
          <a:avLst>
            <a:gd name="adj1" fmla="val 1163"/>
          </a:avLst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223633</xdr:colOff>
      <xdr:row>21</xdr:row>
      <xdr:rowOff>8285</xdr:rowOff>
    </xdr:from>
    <xdr:to>
      <xdr:col>20</xdr:col>
      <xdr:colOff>496957</xdr:colOff>
      <xdr:row>24</xdr:row>
      <xdr:rowOff>173932</xdr:rowOff>
    </xdr:to>
    <xdr:cxnSp macro="">
      <xdr:nvCxnSpPr>
        <xdr:cNvPr id="19" name="Gewinkelte Verbindung 18"/>
        <xdr:cNvCxnSpPr/>
      </xdr:nvCxnSpPr>
      <xdr:spPr>
        <a:xfrm rot="16200000" flipH="1">
          <a:off x="7446069" y="4232414"/>
          <a:ext cx="753713" cy="505237"/>
        </a:xfrm>
        <a:prstGeom prst="bentConnector3">
          <a:avLst>
            <a:gd name="adj1" fmla="val 549"/>
          </a:avLst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11</xdr:row>
      <xdr:rowOff>38100</xdr:rowOff>
    </xdr:from>
    <xdr:to>
      <xdr:col>12</xdr:col>
      <xdr:colOff>685800</xdr:colOff>
      <xdr:row>15</xdr:row>
      <xdr:rowOff>28575</xdr:rowOff>
    </xdr:to>
    <xdr:cxnSp macro="">
      <xdr:nvCxnSpPr>
        <xdr:cNvPr id="21" name="Gewinkelte Verbindung 20"/>
        <xdr:cNvCxnSpPr/>
      </xdr:nvCxnSpPr>
      <xdr:spPr>
        <a:xfrm rot="5400000" flipH="1" flipV="1">
          <a:off x="18264188" y="2405063"/>
          <a:ext cx="762000" cy="676274"/>
        </a:xfrm>
        <a:prstGeom prst="bentConnector3">
          <a:avLst>
            <a:gd name="adj1" fmla="val 0"/>
          </a:avLst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228601</xdr:colOff>
      <xdr:row>17</xdr:row>
      <xdr:rowOff>28575</xdr:rowOff>
    </xdr:from>
    <xdr:to>
      <xdr:col>15</xdr:col>
      <xdr:colOff>2485</xdr:colOff>
      <xdr:row>21</xdr:row>
      <xdr:rowOff>9525</xdr:rowOff>
    </xdr:to>
    <xdr:cxnSp macro="">
      <xdr:nvCxnSpPr>
        <xdr:cNvPr id="26" name="Gewinkelte Verbindung 25"/>
        <xdr:cNvCxnSpPr/>
      </xdr:nvCxnSpPr>
      <xdr:spPr>
        <a:xfrm rot="5400000" flipH="1" flipV="1">
          <a:off x="5024231" y="3424445"/>
          <a:ext cx="776080" cy="593862"/>
        </a:xfrm>
        <a:prstGeom prst="bentConnector3">
          <a:avLst>
            <a:gd name="adj1" fmla="val 0"/>
          </a:avLst>
        </a:prstGeom>
        <a:ln>
          <a:solidFill>
            <a:sysClr val="windowText" lastClr="00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</xdr:colOff>
      <xdr:row>23</xdr:row>
      <xdr:rowOff>24848</xdr:rowOff>
    </xdr:from>
    <xdr:to>
      <xdr:col>17</xdr:col>
      <xdr:colOff>8281</xdr:colOff>
      <xdr:row>27</xdr:row>
      <xdr:rowOff>16566</xdr:rowOff>
    </xdr:to>
    <xdr:cxnSp macro="">
      <xdr:nvCxnSpPr>
        <xdr:cNvPr id="28" name="Gewinkelte Verbindung 27"/>
        <xdr:cNvCxnSpPr/>
      </xdr:nvCxnSpPr>
      <xdr:spPr>
        <a:xfrm rot="5400000" flipH="1" flipV="1">
          <a:off x="5855806" y="4605133"/>
          <a:ext cx="762000" cy="596343"/>
        </a:xfrm>
        <a:prstGeom prst="bentConnector3">
          <a:avLst>
            <a:gd name="adj1" fmla="val 1087"/>
          </a:avLst>
        </a:prstGeom>
        <a:ln>
          <a:solidFill>
            <a:srgbClr val="FF0000"/>
          </a:solidFill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Excavation%20Foundation-NN-Tex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Reinforcement%20Foundation-NN-Numbe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Masonry%20Foundation-NN-Numbe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Backfill%20Foundation-NN-Num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Reinforcement%20Foundation-NN-Tex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Excavation%20Foundation-NN-Numb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Reinforced%20Concrete%20Foundation-NN-Numb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Blinding%20Foundation-NN-Tex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Blinding%20Foundation-NN-Numbe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Reinforced%20Concrete%20Foundation-NN-Tex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Masonry%20Foundation-NN-Tex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romotion/Pedro/Example-Wall/NN-Aufwandswerte/Backfill%20Foundation-NN-Tex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700803331860740622"/>
      <sheetName val="Excavation-Text"/>
      <sheetName val="NeuralTools-Summary"/>
      <sheetName val="NeuralTools-Summary (Test)"/>
      <sheetName val="_DSET_DG296B3688"/>
      <sheetName val="_STDS_DG296B3688"/>
      <sheetName val="_DSET_DG33D35FFB"/>
      <sheetName val="_STDS_DG33D35FF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487380244381555959"/>
      <sheetName val="Steel-Number"/>
      <sheetName val="NeuralTools-Summary"/>
      <sheetName val="NeuralTools-Summary (Test)"/>
      <sheetName val="_DSET_DG4A891C9"/>
      <sheetName val="_STDS_DG4A891C9"/>
      <sheetName val="_DSET_DG279D6228"/>
      <sheetName val="_STDS_DG279D622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874760213635842911"/>
      <sheetName val="Masonry-Number"/>
      <sheetName val="NeuralTools-Summary"/>
      <sheetName val="NeuralTools-Summary (Test)"/>
      <sheetName val="_DSET_DG2F0D5032"/>
      <sheetName val="_STDS_DG2F0D5032"/>
      <sheetName val="_DSET_DG1E214911"/>
      <sheetName val="_STDS_DG1E2149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189846366793910055"/>
      <sheetName val="Excavation-Number"/>
      <sheetName val="NeuralTools-Summary"/>
      <sheetName val="NeuralTools-Summary (Test)"/>
      <sheetName val="_DSET_DG2CDD3372"/>
      <sheetName val="_STDS_DG2CDD3372"/>
      <sheetName val="_DSET_DG339BDB11"/>
      <sheetName val="_STDS_DG339BDB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229603442202494528"/>
      <sheetName val="Steel-Text"/>
      <sheetName val="NeuralTools-Summary"/>
      <sheetName val="NeuralTools-Summary (Test)"/>
      <sheetName val="_DSET_DGBC1BCB6"/>
      <sheetName val="_STDS_DGBC1BCB6"/>
      <sheetName val="_DSET_DG117749ED"/>
      <sheetName val="_STDS_DG117749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1420566868022492710"/>
      <sheetName val="Excavation-Number"/>
      <sheetName val="NeuralTools-Summary"/>
      <sheetName val="NeuralTools-Summary (Test)"/>
      <sheetName val="_DSET_DG2F0BA872"/>
      <sheetName val="_STDS_DG2F0BA872"/>
      <sheetName val="_DSET_DG310241B0"/>
      <sheetName val="_STDS_DG310241B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543340867083705012"/>
      <sheetName val="Reinforced Concrete Foundation"/>
      <sheetName val="NeuralTools-Summary-Test"/>
      <sheetName val="NeuralTools-Summary-Prediction"/>
      <sheetName val="_DSET_DG63C1DAC"/>
      <sheetName val="_STDS_DG63C1DAC"/>
      <sheetName val="_DSET_DG1FF876B5"/>
      <sheetName val="_STDS_DG1FF876B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3331054749818821302"/>
      <sheetName val="Blinding-Text"/>
      <sheetName val="NeuralTools-Summary"/>
      <sheetName val="NeuralTools-Summary (2)"/>
      <sheetName val="_DSET_DG18202E25"/>
      <sheetName val="_STDS_DG18202E25"/>
      <sheetName val="_DSET_DG31387A1E"/>
      <sheetName val="_STDS_DG31387A1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892462715532697032"/>
      <sheetName val="Blinding-Number"/>
      <sheetName val="NeuralTools-Summary"/>
      <sheetName val="NeuralTools-Summary (Test)"/>
      <sheetName val="_DSET_DG39EED1AE"/>
      <sheetName val="_STDS_DG39EED1AE"/>
      <sheetName val="_DSET_DG99F7C4D"/>
      <sheetName val="_STDS_DG99F7C4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252963332227669204"/>
      <sheetName val="Text"/>
      <sheetName val="NeuralTools-Summary-Test"/>
      <sheetName val="NeuralTools-Summary-Prediction"/>
      <sheetName val="_DSET_DG29DFE11D"/>
      <sheetName val="_STDS_DG29DFE11D"/>
      <sheetName val="_DSET_DG2FAF9EEC"/>
      <sheetName val="_STDS_DG2FAF9EE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0715340403198841764"/>
      <sheetName val="Masonry-Text"/>
      <sheetName val="NeuralTools-Summary"/>
      <sheetName val="NeuralTools-Summary (Test)"/>
      <sheetName val="_DSET_DGEF8B5F2"/>
      <sheetName val="_STDS_DGEF8B5F2"/>
      <sheetName val="_DSET_DG2A5898F6"/>
      <sheetName val="_STDS_DG2A5898F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PALNN_G1365255612626353146"/>
      <sheetName val="Excavation-Text"/>
      <sheetName val="NeuralTools-Summary"/>
      <sheetName val="NeuralTools-Summary (2)"/>
      <sheetName val="_DSET_DG161A6289"/>
      <sheetName val="_STDS_DG161A6289"/>
      <sheetName val="_DSET_DG22933055"/>
      <sheetName val="_STDS_DG2293305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40">
          <cell r="A140" t="str">
            <v>NeuralTools Variable Record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2"/>
  <sheetViews>
    <sheetView showZeros="0" tabSelected="1" zoomScale="55" zoomScaleNormal="55" zoomScalePageLayoutView="50" workbookViewId="0">
      <selection activeCell="V24" sqref="V24"/>
    </sheetView>
  </sheetViews>
  <sheetFormatPr baseColWidth="10" defaultRowHeight="16.5" x14ac:dyDescent="0.25"/>
  <cols>
    <col min="1" max="1" width="2.7109375" style="4" customWidth="1"/>
    <col min="2" max="2" width="6.85546875" style="4" bestFit="1" customWidth="1"/>
    <col min="3" max="3" width="15.140625" style="4" customWidth="1"/>
    <col min="4" max="4" width="79.140625" style="4" bestFit="1" customWidth="1"/>
    <col min="5" max="5" width="20.140625" style="4" bestFit="1" customWidth="1"/>
    <col min="6" max="6" width="19.42578125" style="4" bestFit="1" customWidth="1"/>
    <col min="7" max="7" width="13.7109375" style="4" bestFit="1" customWidth="1"/>
    <col min="8" max="8" width="17" style="4" customWidth="1"/>
    <col min="9" max="9" width="13.85546875" style="4" bestFit="1" customWidth="1"/>
    <col min="10" max="10" width="15.42578125" style="4" bestFit="1" customWidth="1"/>
    <col min="11" max="11" width="16.5703125" style="4" bestFit="1" customWidth="1"/>
    <col min="12" max="12" width="23" style="4" bestFit="1" customWidth="1"/>
    <col min="13" max="13" width="19.140625" style="4" bestFit="1" customWidth="1"/>
    <col min="14" max="14" width="2.7109375" style="4" customWidth="1"/>
    <col min="15" max="15" width="31.28515625" style="4" bestFit="1" customWidth="1"/>
    <col min="16" max="16" width="2.7109375" style="4" customWidth="1"/>
    <col min="17" max="17" width="15.42578125" style="4" bestFit="1" customWidth="1"/>
    <col min="18" max="18" width="16.5703125" style="4" bestFit="1" customWidth="1"/>
    <col min="19" max="19" width="23" style="4" bestFit="1" customWidth="1"/>
    <col min="20" max="20" width="21.28515625" style="4" customWidth="1"/>
    <col min="21" max="21" width="2.7109375" style="4" customWidth="1"/>
    <col min="22" max="22" width="28.7109375" style="4" customWidth="1"/>
    <col min="23" max="23" width="3.28515625" style="4" bestFit="1" customWidth="1"/>
    <col min="24" max="24" width="15.42578125" style="4" bestFit="1" customWidth="1"/>
    <col min="25" max="25" width="16.5703125" style="4" bestFit="1" customWidth="1"/>
    <col min="26" max="26" width="23" style="4" bestFit="1" customWidth="1"/>
    <col min="27" max="27" width="19.140625" style="4" bestFit="1" customWidth="1"/>
    <col min="28" max="28" width="2.7109375" style="4" customWidth="1"/>
    <col min="29" max="29" width="15.42578125" style="4" customWidth="1"/>
    <col min="30" max="30" width="16.42578125" style="4" customWidth="1"/>
    <col min="31" max="31" width="3.28515625" style="4" bestFit="1" customWidth="1"/>
    <col min="32" max="32" width="22.42578125" style="6" customWidth="1"/>
    <col min="33" max="16384" width="11.42578125" style="4"/>
  </cols>
  <sheetData>
    <row r="1" spans="2:32" ht="20.25" customHeight="1" x14ac:dyDescent="0.25"/>
    <row r="2" spans="2:32" s="1" customFormat="1" ht="18" x14ac:dyDescent="0.25">
      <c r="D2" s="2" t="s">
        <v>131</v>
      </c>
      <c r="E2" s="3" t="s">
        <v>0</v>
      </c>
      <c r="F2" s="3" t="s">
        <v>1</v>
      </c>
      <c r="G2" s="3" t="s">
        <v>2</v>
      </c>
      <c r="H2" s="3" t="s">
        <v>3</v>
      </c>
      <c r="I2" s="3"/>
      <c r="J2" s="3" t="s">
        <v>4</v>
      </c>
      <c r="K2" s="3" t="s">
        <v>5</v>
      </c>
      <c r="L2" s="3" t="s">
        <v>6</v>
      </c>
      <c r="M2" s="3" t="s">
        <v>7</v>
      </c>
      <c r="N2" s="3"/>
      <c r="O2" s="3" t="s">
        <v>8</v>
      </c>
      <c r="P2" s="3"/>
      <c r="Q2" s="3" t="s">
        <v>9</v>
      </c>
      <c r="R2" s="3" t="s">
        <v>10</v>
      </c>
      <c r="S2" s="3" t="s">
        <v>11</v>
      </c>
      <c r="T2" s="3" t="s">
        <v>12</v>
      </c>
      <c r="U2" s="3"/>
      <c r="V2" s="3" t="s">
        <v>13</v>
      </c>
      <c r="W2" s="3"/>
      <c r="X2" s="3" t="s">
        <v>14</v>
      </c>
      <c r="Y2" s="3" t="s">
        <v>15</v>
      </c>
      <c r="Z2" s="3" t="s">
        <v>16</v>
      </c>
      <c r="AA2" s="3" t="s">
        <v>17</v>
      </c>
      <c r="AB2" s="3"/>
      <c r="AC2" s="3" t="s">
        <v>18</v>
      </c>
      <c r="AD2" s="3" t="s">
        <v>19</v>
      </c>
      <c r="AF2" s="3"/>
    </row>
    <row r="3" spans="2:32" ht="23.25" customHeight="1" thickBot="1" x14ac:dyDescent="0.3">
      <c r="D3" s="5"/>
      <c r="E3" s="6"/>
      <c r="F3" s="6"/>
      <c r="G3" s="6"/>
      <c r="H3" s="6"/>
      <c r="I3" s="6"/>
      <c r="J3" s="536" t="s">
        <v>114</v>
      </c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8"/>
      <c r="W3" s="6"/>
      <c r="X3" s="536" t="s">
        <v>115</v>
      </c>
      <c r="Y3" s="537"/>
      <c r="Z3" s="537"/>
      <c r="AA3" s="537"/>
      <c r="AB3" s="537"/>
      <c r="AC3" s="537"/>
      <c r="AD3" s="538"/>
    </row>
    <row r="4" spans="2:32" ht="35.1" customHeight="1" x14ac:dyDescent="0.25">
      <c r="B4" s="541" t="s">
        <v>130</v>
      </c>
      <c r="C4" s="542"/>
      <c r="D4" s="542"/>
      <c r="E4" s="542"/>
      <c r="F4" s="542"/>
      <c r="G4" s="542"/>
      <c r="H4" s="542"/>
      <c r="I4" s="7"/>
      <c r="J4" s="542" t="s">
        <v>108</v>
      </c>
      <c r="K4" s="542"/>
      <c r="L4" s="542"/>
      <c r="M4" s="542"/>
      <c r="N4" s="7"/>
      <c r="O4" s="8"/>
      <c r="P4" s="7"/>
      <c r="Q4" s="542" t="s">
        <v>109</v>
      </c>
      <c r="R4" s="542"/>
      <c r="S4" s="542"/>
      <c r="T4" s="542"/>
      <c r="U4" s="7"/>
      <c r="V4" s="9"/>
      <c r="W4" s="7"/>
      <c r="X4" s="542" t="s">
        <v>110</v>
      </c>
      <c r="Y4" s="542"/>
      <c r="Z4" s="542"/>
      <c r="AA4" s="542"/>
      <c r="AB4" s="7"/>
      <c r="AC4" s="543" t="s">
        <v>111</v>
      </c>
      <c r="AD4" s="539" t="s">
        <v>112</v>
      </c>
      <c r="AF4" s="534" t="s">
        <v>113</v>
      </c>
    </row>
    <row r="5" spans="2:32" ht="45.75" customHeight="1" x14ac:dyDescent="0.25">
      <c r="B5" s="10" t="s">
        <v>93</v>
      </c>
      <c r="C5" s="11" t="s">
        <v>146</v>
      </c>
      <c r="D5" s="12" t="s">
        <v>132</v>
      </c>
      <c r="E5" s="13" t="s">
        <v>95</v>
      </c>
      <c r="F5" s="13" t="s">
        <v>94</v>
      </c>
      <c r="G5" s="11" t="s">
        <v>102</v>
      </c>
      <c r="H5" s="14" t="s">
        <v>96</v>
      </c>
      <c r="I5" s="15"/>
      <c r="J5" s="16" t="s">
        <v>116</v>
      </c>
      <c r="K5" s="13" t="s">
        <v>117</v>
      </c>
      <c r="L5" s="13" t="s">
        <v>118</v>
      </c>
      <c r="M5" s="14" t="s">
        <v>119</v>
      </c>
      <c r="N5" s="15"/>
      <c r="O5" s="17" t="s">
        <v>133</v>
      </c>
      <c r="P5" s="15"/>
      <c r="Q5" s="16" t="s">
        <v>116</v>
      </c>
      <c r="R5" s="13" t="s">
        <v>117</v>
      </c>
      <c r="S5" s="13" t="s">
        <v>118</v>
      </c>
      <c r="T5" s="14" t="s">
        <v>119</v>
      </c>
      <c r="U5" s="15"/>
      <c r="V5" s="17" t="s">
        <v>147</v>
      </c>
      <c r="W5" s="15"/>
      <c r="X5" s="16" t="s">
        <v>116</v>
      </c>
      <c r="Y5" s="13" t="s">
        <v>117</v>
      </c>
      <c r="Z5" s="13" t="s">
        <v>118</v>
      </c>
      <c r="AA5" s="14" t="s">
        <v>119</v>
      </c>
      <c r="AB5" s="15"/>
      <c r="AC5" s="544"/>
      <c r="AD5" s="540"/>
      <c r="AF5" s="535"/>
    </row>
    <row r="6" spans="2:32" ht="35.1" customHeight="1" x14ac:dyDescent="0.25">
      <c r="B6" s="18"/>
      <c r="C6" s="12"/>
      <c r="D6" s="12"/>
      <c r="E6" s="13"/>
      <c r="F6" s="19" t="s">
        <v>123</v>
      </c>
      <c r="G6" s="19" t="s">
        <v>121</v>
      </c>
      <c r="H6" s="20" t="s">
        <v>122</v>
      </c>
      <c r="I6" s="21"/>
      <c r="J6" s="22" t="s">
        <v>120</v>
      </c>
      <c r="K6" s="19" t="s">
        <v>120</v>
      </c>
      <c r="L6" s="19" t="s">
        <v>120</v>
      </c>
      <c r="M6" s="20" t="s">
        <v>120</v>
      </c>
      <c r="N6" s="21"/>
      <c r="O6" s="23" t="s">
        <v>124</v>
      </c>
      <c r="P6" s="21"/>
      <c r="Q6" s="22" t="s">
        <v>20</v>
      </c>
      <c r="R6" s="19" t="s">
        <v>20</v>
      </c>
      <c r="S6" s="19" t="s">
        <v>20</v>
      </c>
      <c r="T6" s="20" t="s">
        <v>20</v>
      </c>
      <c r="U6" s="21"/>
      <c r="V6" s="23" t="s">
        <v>20</v>
      </c>
      <c r="W6" s="21"/>
      <c r="X6" s="22" t="s">
        <v>20</v>
      </c>
      <c r="Y6" s="19" t="s">
        <v>20</v>
      </c>
      <c r="Z6" s="19" t="s">
        <v>20</v>
      </c>
      <c r="AA6" s="20" t="s">
        <v>20</v>
      </c>
      <c r="AB6" s="21"/>
      <c r="AC6" s="22" t="s">
        <v>120</v>
      </c>
      <c r="AD6" s="24" t="s">
        <v>20</v>
      </c>
      <c r="AF6" s="25"/>
    </row>
    <row r="7" spans="2:32" ht="35.1" customHeight="1" x14ac:dyDescent="0.25">
      <c r="B7" s="18">
        <v>1</v>
      </c>
      <c r="C7" s="26" t="s">
        <v>21</v>
      </c>
      <c r="D7" s="27" t="s">
        <v>89</v>
      </c>
      <c r="E7" s="28">
        <v>300</v>
      </c>
      <c r="F7" s="28" t="s">
        <v>22</v>
      </c>
      <c r="G7" s="29"/>
      <c r="H7" s="30"/>
      <c r="I7" s="31"/>
      <c r="J7" s="32"/>
      <c r="K7" s="33"/>
      <c r="L7" s="33"/>
      <c r="M7" s="34"/>
      <c r="N7" s="31"/>
      <c r="O7" s="35"/>
      <c r="P7" s="31"/>
      <c r="Q7" s="36"/>
      <c r="R7" s="37"/>
      <c r="S7" s="37"/>
      <c r="T7" s="38"/>
      <c r="U7" s="31"/>
      <c r="V7" s="39"/>
      <c r="W7" s="40"/>
      <c r="X7" s="41"/>
      <c r="Y7" s="42"/>
      <c r="Z7" s="42"/>
      <c r="AA7" s="43"/>
      <c r="AB7" s="31"/>
      <c r="AC7" s="44">
        <f t="shared" ref="AC7:AC14" ca="1" si="0">AD7/E7</f>
        <v>913.15675241930046</v>
      </c>
      <c r="AD7" s="45">
        <f ca="1">SUM(AD8:AD14)</f>
        <v>273947.02572579012</v>
      </c>
      <c r="AF7" s="46"/>
    </row>
    <row r="8" spans="2:32" ht="35.1" customHeight="1" x14ac:dyDescent="0.25">
      <c r="B8" s="18">
        <v>2</v>
      </c>
      <c r="C8" s="47" t="s">
        <v>23</v>
      </c>
      <c r="D8" s="48" t="s">
        <v>90</v>
      </c>
      <c r="E8" s="28">
        <f>Calculations!C3</f>
        <v>769.5</v>
      </c>
      <c r="F8" s="28" t="s">
        <v>24</v>
      </c>
      <c r="G8" s="114">
        <f ca="1">Inputs!G5</f>
        <v>0.2331100993700892</v>
      </c>
      <c r="H8" s="114">
        <f ca="1">Inputs!H5</f>
        <v>8.5796368557364353</v>
      </c>
      <c r="I8" s="31"/>
      <c r="J8" s="32">
        <f ca="1">_xll.RiskOutput(,"EKT",1)+Calculations!AD17</f>
        <v>1.4569381210630574</v>
      </c>
      <c r="K8" s="33">
        <f ca="1">_xll.RiskOutput(,"EKT",2)+Calculations!AD18</f>
        <v>0.34616849756458246</v>
      </c>
      <c r="L8" s="33">
        <f ca="1">_xll.RiskOutput(,"EKT",3)+Calculations!AD19</f>
        <v>2.1500772334747738</v>
      </c>
      <c r="M8" s="34">
        <f>_xll.RiskOutput(,"EKT",4)+0.00000001</f>
        <v>1E-8</v>
      </c>
      <c r="N8" s="31"/>
      <c r="O8" s="35">
        <f t="shared" ref="O8:O13" ca="1" si="1">E8*G8</f>
        <v>179.37822146528364</v>
      </c>
      <c r="P8" s="31"/>
      <c r="Q8" s="36">
        <f t="shared" ref="Q8:Q13" ca="1" si="2">E8*J8</f>
        <v>1121.1138841580228</v>
      </c>
      <c r="R8" s="37">
        <f ca="1">K8*E8</f>
        <v>266.37665887594619</v>
      </c>
      <c r="S8" s="37">
        <f ca="1">L8*E8</f>
        <v>1654.4844311588383</v>
      </c>
      <c r="T8" s="38">
        <f t="shared" ref="T8:T14" si="3">M8*E8</f>
        <v>7.695E-6</v>
      </c>
      <c r="U8" s="31"/>
      <c r="V8" s="39">
        <f t="shared" ref="V8:V13" ca="1" si="4">Q8+R8+S8+T8</f>
        <v>3041.9749818878072</v>
      </c>
      <c r="W8" s="40"/>
      <c r="X8" s="41">
        <f t="shared" ref="X8:X15" ca="1" si="5">Q8*(1+$X$20)</f>
        <v>6497.7917821795409</v>
      </c>
      <c r="Y8" s="42">
        <f ca="1">R8*(1+$Y$20)</f>
        <v>452.8403200891085</v>
      </c>
      <c r="Z8" s="42">
        <f ca="1">S8*(1+$Z$20)</f>
        <v>2150.8297605064899</v>
      </c>
      <c r="AA8" s="43">
        <f t="shared" ref="AA8:AA15" si="6">T8*(1+$AA$20)</f>
        <v>8.84925E-6</v>
      </c>
      <c r="AB8" s="31"/>
      <c r="AC8" s="49">
        <f t="shared" ca="1" si="0"/>
        <v>11.827760716860807</v>
      </c>
      <c r="AD8" s="50">
        <f t="shared" ref="AD8:AD14" ca="1" si="7">X8+Y8+Z8+AA8</f>
        <v>9101.4618716243913</v>
      </c>
      <c r="AF8" s="51" t="s">
        <v>25</v>
      </c>
    </row>
    <row r="9" spans="2:32" ht="35.1" customHeight="1" x14ac:dyDescent="0.25">
      <c r="B9" s="18">
        <v>3</v>
      </c>
      <c r="C9" s="52" t="s">
        <v>26</v>
      </c>
      <c r="D9" s="48" t="s">
        <v>98</v>
      </c>
      <c r="E9" s="28">
        <f>Calculations!C5</f>
        <v>600</v>
      </c>
      <c r="F9" s="28" t="s">
        <v>27</v>
      </c>
      <c r="G9" s="114">
        <f ca="1">Inputs!G11</f>
        <v>0.12440337995787429</v>
      </c>
      <c r="H9" s="114">
        <f ca="1">Inputs!H11</f>
        <v>16.076733611878101</v>
      </c>
      <c r="I9" s="31"/>
      <c r="J9" s="32">
        <f ca="1">_xll.RiskOutput(,"EKT",5)+Calculations!AD27</f>
        <v>0.77752112473671431</v>
      </c>
      <c r="K9" s="33">
        <f ca="1">_xll.RiskOutput(,"EKT",6)+Calculations!AD28</f>
        <v>6.7</v>
      </c>
      <c r="L9" s="33">
        <f>_xll.RiskOutput(,"EKT",7)+0.00000001</f>
        <v>1E-8</v>
      </c>
      <c r="M9" s="34">
        <f>_xll.RiskOutput(,"EKT",8)+0.00000001</f>
        <v>1E-8</v>
      </c>
      <c r="N9" s="31"/>
      <c r="O9" s="35">
        <f t="shared" ca="1" si="1"/>
        <v>74.64202797472457</v>
      </c>
      <c r="P9" s="31"/>
      <c r="Q9" s="36">
        <f t="shared" ca="1" si="2"/>
        <v>466.51267484202856</v>
      </c>
      <c r="R9" s="37">
        <f ca="1">K9*E9</f>
        <v>4020</v>
      </c>
      <c r="S9" s="37">
        <f t="shared" ref="S9:S14" si="8">L9*E9</f>
        <v>6.0000000000000002E-6</v>
      </c>
      <c r="T9" s="38">
        <f t="shared" si="3"/>
        <v>6.0000000000000002E-6</v>
      </c>
      <c r="U9" s="31"/>
      <c r="V9" s="39">
        <f t="shared" ca="1" si="4"/>
        <v>4486.5126868420293</v>
      </c>
      <c r="W9" s="40"/>
      <c r="X9" s="41">
        <f t="shared" ca="1" si="5"/>
        <v>2703.8307773234769</v>
      </c>
      <c r="Y9" s="42">
        <f ca="1">R9*(1+$Y$20)</f>
        <v>6834</v>
      </c>
      <c r="Z9" s="42">
        <f t="shared" ref="Z9:Z15" si="9">S9*(1+$Z$20)</f>
        <v>7.7999999999999999E-6</v>
      </c>
      <c r="AA9" s="43">
        <f t="shared" si="6"/>
        <v>6.9E-6</v>
      </c>
      <c r="AB9" s="31"/>
      <c r="AC9" s="49">
        <f t="shared" ca="1" si="0"/>
        <v>15.896384653372461</v>
      </c>
      <c r="AD9" s="50">
        <f t="shared" ca="1" si="7"/>
        <v>9537.8307920234765</v>
      </c>
      <c r="AF9" s="51" t="s">
        <v>28</v>
      </c>
    </row>
    <row r="10" spans="2:32" ht="35.1" customHeight="1" x14ac:dyDescent="0.25">
      <c r="B10" s="18">
        <v>4</v>
      </c>
      <c r="C10" s="47" t="s">
        <v>29</v>
      </c>
      <c r="D10" s="48" t="s">
        <v>91</v>
      </c>
      <c r="E10" s="28">
        <f>Calculations!C7</f>
        <v>270</v>
      </c>
      <c r="F10" s="28" t="s">
        <v>24</v>
      </c>
      <c r="G10" s="114">
        <f ca="1">Inputs!G17</f>
        <v>0.66746416702673628</v>
      </c>
      <c r="H10" s="114">
        <f ca="1">Inputs!H17</f>
        <v>4.4946233044444925</v>
      </c>
      <c r="I10" s="31"/>
      <c r="J10" s="32">
        <f ca="1">_xll.RiskOutput(,"EKT",9)+Calculations!AD37</f>
        <v>12.485064734568033</v>
      </c>
      <c r="K10" s="33">
        <f ca="1">_xll.RiskOutput(,"EKT",10)+Calculations!AD38</f>
        <v>175.61333333333332</v>
      </c>
      <c r="L10" s="33">
        <f>_xll.RiskOutput(,"EKT",11)+0.0000001</f>
        <v>9.9999999999999995E-8</v>
      </c>
      <c r="M10" s="34">
        <f>_xll.RiskOutput(,"EKT",12)+0.0000001</f>
        <v>9.9999999999999995E-8</v>
      </c>
      <c r="N10" s="31"/>
      <c r="O10" s="35">
        <f t="shared" ca="1" si="1"/>
        <v>180.21532509721879</v>
      </c>
      <c r="P10" s="31"/>
      <c r="Q10" s="36">
        <f t="shared" ca="1" si="2"/>
        <v>3370.9674783333689</v>
      </c>
      <c r="R10" s="37">
        <f ca="1">K10*E10</f>
        <v>47415.6</v>
      </c>
      <c r="S10" s="37">
        <f t="shared" si="8"/>
        <v>2.6999999999999999E-5</v>
      </c>
      <c r="T10" s="38">
        <f t="shared" si="3"/>
        <v>2.6999999999999999E-5</v>
      </c>
      <c r="U10" s="31"/>
      <c r="V10" s="39">
        <f t="shared" ca="1" si="4"/>
        <v>50786.567532333371</v>
      </c>
      <c r="W10" s="40"/>
      <c r="X10" s="41">
        <f t="shared" ca="1" si="5"/>
        <v>19537.573379674312</v>
      </c>
      <c r="Y10" s="42">
        <f ca="1">R10*(1+$Y$20)</f>
        <v>80606.51999999999</v>
      </c>
      <c r="Z10" s="42">
        <f t="shared" si="9"/>
        <v>3.5099999999999999E-5</v>
      </c>
      <c r="AA10" s="43">
        <f t="shared" si="6"/>
        <v>3.1049999999999996E-5</v>
      </c>
      <c r="AB10" s="31"/>
      <c r="AC10" s="49">
        <f t="shared" ca="1" si="0"/>
        <v>370.90404979934931</v>
      </c>
      <c r="AD10" s="50">
        <f t="shared" ca="1" si="7"/>
        <v>100144.09344582431</v>
      </c>
      <c r="AF10" s="51" t="s">
        <v>28</v>
      </c>
    </row>
    <row r="11" spans="2:32" ht="35.1" customHeight="1" x14ac:dyDescent="0.25">
      <c r="B11" s="18">
        <v>5</v>
      </c>
      <c r="C11" s="47" t="s">
        <v>30</v>
      </c>
      <c r="D11" s="48" t="s">
        <v>100</v>
      </c>
      <c r="E11" s="28">
        <f>Calculations!C9</f>
        <v>101</v>
      </c>
      <c r="F11" s="28" t="s">
        <v>31</v>
      </c>
      <c r="G11" s="114">
        <f ca="1">Inputs!G23</f>
        <v>8</v>
      </c>
      <c r="H11" s="114">
        <f ca="1">Inputs!H23</f>
        <v>0.375</v>
      </c>
      <c r="I11" s="31"/>
      <c r="J11" s="32">
        <f ca="1">_xll.RiskOutput(,"EKT",13)+Calculations!AD47</f>
        <v>22.222222222222221</v>
      </c>
      <c r="K11" s="33">
        <f ca="1">_xll.RiskOutput(,"EKT",14)+Calculations!AD48</f>
        <v>201.82524752475246</v>
      </c>
      <c r="L11" s="33">
        <f ca="1">_xll.RiskOutput(,"EKT",15)+Calculations!AD49</f>
        <v>49.605222222222224</v>
      </c>
      <c r="M11" s="34">
        <f>_xll.RiskOutput(,"EKT",16)+0.00000001</f>
        <v>1E-8</v>
      </c>
      <c r="N11" s="31"/>
      <c r="O11" s="35">
        <f t="shared" ca="1" si="1"/>
        <v>808</v>
      </c>
      <c r="P11" s="31"/>
      <c r="Q11" s="36">
        <f t="shared" ca="1" si="2"/>
        <v>2244.4444444444443</v>
      </c>
      <c r="R11" s="37">
        <f ca="1">K11*E11</f>
        <v>20384.349999999999</v>
      </c>
      <c r="S11" s="37">
        <f ca="1">L11*E11</f>
        <v>5010.1274444444443</v>
      </c>
      <c r="T11" s="38">
        <f t="shared" si="3"/>
        <v>1.0100000000000001E-6</v>
      </c>
      <c r="U11" s="31"/>
      <c r="V11" s="39">
        <f t="shared" ca="1" si="4"/>
        <v>27638.921889898887</v>
      </c>
      <c r="W11" s="40"/>
      <c r="X11" s="41">
        <f t="shared" ca="1" si="5"/>
        <v>13008.431054818697</v>
      </c>
      <c r="Y11" s="42">
        <f ca="1">R11*(1+$Y$20)</f>
        <v>34653.394999999997</v>
      </c>
      <c r="Z11" s="42">
        <f ca="1">S11*(1+$Z$20)</f>
        <v>6513.165677777778</v>
      </c>
      <c r="AA11" s="43">
        <f t="shared" si="6"/>
        <v>1.1615E-6</v>
      </c>
      <c r="AB11" s="31"/>
      <c r="AC11" s="49">
        <f t="shared" ca="1" si="0"/>
        <v>536.38605676988084</v>
      </c>
      <c r="AD11" s="50">
        <f t="shared" ca="1" si="7"/>
        <v>54174.991733757968</v>
      </c>
      <c r="AF11" s="51" t="s">
        <v>32</v>
      </c>
    </row>
    <row r="12" spans="2:32" ht="35.1" customHeight="1" x14ac:dyDescent="0.25">
      <c r="B12" s="18">
        <v>6</v>
      </c>
      <c r="C12" s="47" t="s">
        <v>33</v>
      </c>
      <c r="D12" s="48" t="s">
        <v>99</v>
      </c>
      <c r="E12" s="28">
        <f>Calculations!C10</f>
        <v>1040</v>
      </c>
      <c r="F12" s="28" t="s">
        <v>27</v>
      </c>
      <c r="G12" s="114">
        <f>Inputs!G29</f>
        <v>1.0265582930951014</v>
      </c>
      <c r="H12" s="114">
        <f ca="1">Inputs!H29</f>
        <v>3.8965152070808275</v>
      </c>
      <c r="I12" s="31"/>
      <c r="J12" s="32">
        <f ca="1">_xll.RiskOutput(,"EKT",17)+Calculations!AI17</f>
        <v>1.6039973329610959</v>
      </c>
      <c r="K12" s="33">
        <f ca="1">_xll.RiskOutput(,"EKT",18)+Calculations!AI18</f>
        <v>24.5</v>
      </c>
      <c r="L12" s="33">
        <f>_xll.RiskOutput(,"EKT",19)+0.0000001</f>
        <v>9.9999999999999995E-8</v>
      </c>
      <c r="M12" s="34">
        <f>_xll.RiskOutput(,"EKT",20)+0.0000001</f>
        <v>9.9999999999999995E-8</v>
      </c>
      <c r="N12" s="31"/>
      <c r="O12" s="35">
        <f t="shared" si="1"/>
        <v>1067.6206248189055</v>
      </c>
      <c r="P12" s="31"/>
      <c r="Q12" s="36">
        <f t="shared" ca="1" si="2"/>
        <v>1668.1572262795398</v>
      </c>
      <c r="R12" s="37">
        <f ca="1">K12*E12</f>
        <v>25480</v>
      </c>
      <c r="S12" s="37">
        <f t="shared" si="8"/>
        <v>1.0399999999999999E-4</v>
      </c>
      <c r="T12" s="38">
        <f t="shared" si="3"/>
        <v>1.0399999999999999E-4</v>
      </c>
      <c r="U12" s="31"/>
      <c r="V12" s="39">
        <f t="shared" ca="1" si="4"/>
        <v>27148.157434279536</v>
      </c>
      <c r="W12" s="40"/>
      <c r="X12" s="41">
        <f t="shared" ca="1" si="5"/>
        <v>9668.365069301728</v>
      </c>
      <c r="Y12" s="42">
        <f ca="1">R12*(1+$Y$20)</f>
        <v>43316</v>
      </c>
      <c r="Z12" s="42">
        <f t="shared" si="9"/>
        <v>1.3520000000000001E-4</v>
      </c>
      <c r="AA12" s="43">
        <f t="shared" si="6"/>
        <v>1.1959999999999998E-4</v>
      </c>
      <c r="AB12" s="31"/>
      <c r="AC12" s="49">
        <f t="shared" ca="1" si="0"/>
        <v>50.946505119328584</v>
      </c>
      <c r="AD12" s="50">
        <f t="shared" ca="1" si="7"/>
        <v>52984.365324101731</v>
      </c>
      <c r="AF12" s="51" t="s">
        <v>34</v>
      </c>
    </row>
    <row r="13" spans="2:32" ht="35.1" customHeight="1" x14ac:dyDescent="0.25">
      <c r="B13" s="18">
        <v>7</v>
      </c>
      <c r="C13" s="52" t="s">
        <v>35</v>
      </c>
      <c r="D13" s="48" t="s">
        <v>92</v>
      </c>
      <c r="E13" s="28">
        <f>Calculations!C11</f>
        <v>439.5</v>
      </c>
      <c r="F13" s="28" t="s">
        <v>24</v>
      </c>
      <c r="G13" s="114">
        <f ca="1">Inputs!G35</f>
        <v>0.15478727990594754</v>
      </c>
      <c r="H13" s="114">
        <f ca="1">Inputs!H35</f>
        <v>12.920958370838017</v>
      </c>
      <c r="I13" s="31"/>
      <c r="J13" s="32">
        <f ca="1">_xll.RiskOutput(,"EKT",21)+Calculations!AI27</f>
        <v>0.96742049941217212</v>
      </c>
      <c r="K13" s="33">
        <f>_xll.RiskOutput(,"EKT",22)+0.0000001</f>
        <v>9.9999999999999995E-8</v>
      </c>
      <c r="L13" s="33">
        <f>_xll.RiskOutput(,"EKT",23)+0.0000001</f>
        <v>9.9999999999999995E-8</v>
      </c>
      <c r="M13" s="34">
        <f>_xll.RiskOutput(,"EKT",24)+0.0000001</f>
        <v>9.9999999999999995E-8</v>
      </c>
      <c r="N13" s="31"/>
      <c r="O13" s="35">
        <f t="shared" ca="1" si="1"/>
        <v>68.029009518663941</v>
      </c>
      <c r="P13" s="31"/>
      <c r="Q13" s="36">
        <f t="shared" ca="1" si="2"/>
        <v>425.18130949164964</v>
      </c>
      <c r="R13" s="37">
        <f t="shared" ref="R13:R14" si="10">K13*E13</f>
        <v>4.3949999999999998E-5</v>
      </c>
      <c r="S13" s="37">
        <f t="shared" si="8"/>
        <v>4.3949999999999998E-5</v>
      </c>
      <c r="T13" s="38">
        <f t="shared" si="3"/>
        <v>4.3949999999999998E-5</v>
      </c>
      <c r="U13" s="31"/>
      <c r="V13" s="39">
        <f t="shared" ca="1" si="4"/>
        <v>425.1814413416497</v>
      </c>
      <c r="W13" s="40"/>
      <c r="X13" s="41">
        <f t="shared" ca="1" si="5"/>
        <v>2464.2809778651931</v>
      </c>
      <c r="Y13" s="42">
        <f t="shared" ref="Y13:Y15" si="11">R13*(1+$Y$20)</f>
        <v>7.4714999999999992E-5</v>
      </c>
      <c r="Z13" s="42">
        <f t="shared" si="9"/>
        <v>5.7135000000000001E-5</v>
      </c>
      <c r="AA13" s="43">
        <f t="shared" si="6"/>
        <v>5.0542499999999993E-5</v>
      </c>
      <c r="AB13" s="31"/>
      <c r="AC13" s="49">
        <f t="shared" ca="1" si="0"/>
        <v>5.6070106035442402</v>
      </c>
      <c r="AD13" s="50">
        <f t="shared" ca="1" si="7"/>
        <v>2464.2811602576935</v>
      </c>
      <c r="AF13" s="51" t="s">
        <v>25</v>
      </c>
    </row>
    <row r="14" spans="2:32" ht="35.1" customHeight="1" x14ac:dyDescent="0.25">
      <c r="B14" s="18">
        <v>8</v>
      </c>
      <c r="C14" s="47" t="s">
        <v>36</v>
      </c>
      <c r="D14" s="48" t="s">
        <v>97</v>
      </c>
      <c r="E14" s="28">
        <v>24</v>
      </c>
      <c r="F14" s="28" t="s">
        <v>37</v>
      </c>
      <c r="G14" s="53" t="s">
        <v>38</v>
      </c>
      <c r="H14" s="54" t="s">
        <v>38</v>
      </c>
      <c r="I14" s="31"/>
      <c r="J14" s="32">
        <f>_xll.RiskOutput(,"EKT",25)+0.00001</f>
        <v>1.0000000000000001E-5</v>
      </c>
      <c r="K14" s="33">
        <f>_xll.RiskOutput(,"EKT",26)+0.0000001</f>
        <v>9.9999999999999995E-8</v>
      </c>
      <c r="L14" s="33">
        <f>_xll.RiskOutput(,"EKT",27)+0.0000001</f>
        <v>9.9999999999999995E-8</v>
      </c>
      <c r="M14" s="55">
        <f>_xll.RiskOutput(,"EKT",28)+Calculations!AI40</f>
        <v>1650</v>
      </c>
      <c r="N14" s="31"/>
      <c r="O14" s="35">
        <v>1E-3</v>
      </c>
      <c r="P14" s="31"/>
      <c r="Q14" s="36">
        <f t="shared" ref="Q14" si="12">J14*E14</f>
        <v>2.4000000000000003E-4</v>
      </c>
      <c r="R14" s="37">
        <f t="shared" si="10"/>
        <v>2.3999999999999999E-6</v>
      </c>
      <c r="S14" s="37">
        <f t="shared" si="8"/>
        <v>2.3999999999999999E-6</v>
      </c>
      <c r="T14" s="38">
        <f t="shared" si="3"/>
        <v>39600</v>
      </c>
      <c r="U14" s="31"/>
      <c r="V14" s="39">
        <f t="shared" ref="V14" si="13">Q14+R14+S14+T14</f>
        <v>39600.000244800001</v>
      </c>
      <c r="W14" s="40"/>
      <c r="X14" s="41">
        <f t="shared" ca="1" si="5"/>
        <v>1.391000548436059E-3</v>
      </c>
      <c r="Y14" s="42">
        <f t="shared" si="11"/>
        <v>4.0799999999999999E-6</v>
      </c>
      <c r="Z14" s="42">
        <f t="shared" si="9"/>
        <v>3.1199999999999998E-6</v>
      </c>
      <c r="AA14" s="43">
        <f t="shared" si="6"/>
        <v>45540</v>
      </c>
      <c r="AB14" s="31"/>
      <c r="AC14" s="49">
        <f t="shared" ca="1" si="0"/>
        <v>1897.5000582583561</v>
      </c>
      <c r="AD14" s="50">
        <f t="shared" ca="1" si="7"/>
        <v>45540.001398200548</v>
      </c>
      <c r="AF14" s="51" t="s">
        <v>39</v>
      </c>
    </row>
    <row r="15" spans="2:32" ht="35.1" customHeight="1" thickBot="1" x14ac:dyDescent="0.3">
      <c r="B15" s="56">
        <v>9</v>
      </c>
      <c r="C15" s="57"/>
      <c r="D15" s="58"/>
      <c r="E15" s="59"/>
      <c r="F15" s="59"/>
      <c r="G15" s="60"/>
      <c r="H15" s="61"/>
      <c r="I15" s="62"/>
      <c r="J15" s="63"/>
      <c r="K15" s="64"/>
      <c r="L15" s="64"/>
      <c r="M15" s="65"/>
      <c r="N15" s="62"/>
      <c r="O15" s="66"/>
      <c r="P15" s="62"/>
      <c r="Q15" s="67"/>
      <c r="R15" s="68"/>
      <c r="S15" s="68"/>
      <c r="T15" s="69"/>
      <c r="U15" s="62"/>
      <c r="V15" s="70"/>
      <c r="W15" s="62"/>
      <c r="X15" s="71">
        <f t="shared" ca="1" si="5"/>
        <v>0</v>
      </c>
      <c r="Y15" s="72">
        <f t="shared" si="11"/>
        <v>0</v>
      </c>
      <c r="Z15" s="72">
        <f t="shared" si="9"/>
        <v>0</v>
      </c>
      <c r="AA15" s="73">
        <f t="shared" si="6"/>
        <v>0</v>
      </c>
      <c r="AB15" s="62"/>
      <c r="AC15" s="74"/>
      <c r="AD15" s="75"/>
      <c r="AF15" s="46"/>
    </row>
    <row r="16" spans="2:32" ht="35.1" customHeight="1" thickBot="1" x14ac:dyDescent="0.3">
      <c r="B16" s="76">
        <v>10</v>
      </c>
      <c r="C16" s="77" t="s">
        <v>38</v>
      </c>
      <c r="D16" s="78" t="s">
        <v>101</v>
      </c>
      <c r="E16" s="79">
        <v>25</v>
      </c>
      <c r="F16" s="80"/>
      <c r="G16" s="81"/>
      <c r="H16" s="82"/>
      <c r="I16" s="82"/>
      <c r="J16" s="82"/>
      <c r="K16" s="82"/>
      <c r="L16" s="82"/>
      <c r="M16" s="81"/>
      <c r="N16" s="82"/>
      <c r="O16" s="83" t="s">
        <v>145</v>
      </c>
      <c r="P16" s="84"/>
      <c r="Q16" s="442">
        <f ca="1">SUM(Q8:Q15)</f>
        <v>9296.3772575490511</v>
      </c>
      <c r="R16" s="443">
        <f ca="1">SUM(R8:R15)</f>
        <v>97566.326705225947</v>
      </c>
      <c r="S16" s="443">
        <f ca="1">SUM(S8:S15)</f>
        <v>6664.6120589532829</v>
      </c>
      <c r="T16" s="444">
        <f>SUM(T8:T15)</f>
        <v>39600.000189655002</v>
      </c>
      <c r="U16" s="84"/>
      <c r="V16" s="439">
        <f ca="1">_xll.RiskOutput(,O16,1)+Q16+R16+S16+T16</f>
        <v>153127.3162113833</v>
      </c>
      <c r="W16" s="84"/>
      <c r="X16" s="85">
        <f ca="1">SUM(X8:X15)</f>
        <v>53880.274432163496</v>
      </c>
      <c r="Y16" s="86">
        <f ca="1">SUM(Y8:Y15)</f>
        <v>165862.7553988841</v>
      </c>
      <c r="Z16" s="86">
        <f ca="1">SUM(Z8:Z15)</f>
        <v>8663.9956766392661</v>
      </c>
      <c r="AA16" s="87">
        <f>SUM(AA8:AA15)</f>
        <v>45540.000218103247</v>
      </c>
      <c r="AB16" s="84"/>
      <c r="AC16" s="88" t="s">
        <v>40</v>
      </c>
      <c r="AD16" s="89">
        <f ca="1">SUM(AD8:AD15)</f>
        <v>273947.02572579012</v>
      </c>
      <c r="AE16" s="4" t="s">
        <v>41</v>
      </c>
      <c r="AF16" s="90" t="s">
        <v>151</v>
      </c>
    </row>
    <row r="17" spans="2:32" ht="35.1" customHeight="1" x14ac:dyDescent="0.25">
      <c r="B17" s="91">
        <v>11</v>
      </c>
      <c r="C17" s="92" t="s">
        <v>38</v>
      </c>
      <c r="D17" s="93" t="s">
        <v>144</v>
      </c>
      <c r="E17" s="94">
        <f ca="1">SUM(O8:O15)</f>
        <v>2377.8862088747965</v>
      </c>
      <c r="F17" s="95"/>
      <c r="G17" s="96"/>
      <c r="H17" s="97"/>
      <c r="I17" s="96"/>
      <c r="J17" s="97"/>
      <c r="K17" s="96"/>
      <c r="L17" s="97"/>
      <c r="M17" s="96"/>
      <c r="N17" s="96"/>
      <c r="O17" s="98" t="s">
        <v>136</v>
      </c>
      <c r="Q17" s="445">
        <f ca="1">Calculations!I70+Calculations!I71</f>
        <v>42501.117919709657</v>
      </c>
      <c r="R17" s="446">
        <f ca="1">Calculations!I77</f>
        <v>1667.039306569885</v>
      </c>
      <c r="S17" s="446">
        <f ca="1">Calculations!I72+Calculations!I73+Calculations!I74+Calculations!I75+Calculations!I76</f>
        <v>27341.087647485067</v>
      </c>
      <c r="T17" s="447">
        <v>1.0000000000000001E-5</v>
      </c>
      <c r="V17" s="440">
        <f ca="1">_xll.RiskOutput(,O17,2)+Q17+R17+S17+T17</f>
        <v>71509.244883764608</v>
      </c>
      <c r="W17" s="4" t="s">
        <v>41</v>
      </c>
      <c r="X17" s="433" t="s">
        <v>134</v>
      </c>
      <c r="Z17" s="99" t="s">
        <v>40</v>
      </c>
      <c r="AA17" s="100">
        <f ca="1">SUM(X16:AA16)</f>
        <v>273947.02572579007</v>
      </c>
      <c r="AD17" s="5"/>
      <c r="AF17" s="101"/>
    </row>
    <row r="18" spans="2:32" ht="35.1" customHeight="1" thickBot="1" x14ac:dyDescent="0.3">
      <c r="B18" s="91">
        <v>12</v>
      </c>
      <c r="C18" s="92" t="s">
        <v>38</v>
      </c>
      <c r="D18" s="93" t="s">
        <v>138</v>
      </c>
      <c r="E18" s="94">
        <v>1500</v>
      </c>
      <c r="F18" s="95"/>
      <c r="G18" s="96"/>
      <c r="H18" s="96"/>
      <c r="I18" s="96"/>
      <c r="J18" s="96"/>
      <c r="K18" s="96"/>
      <c r="L18" s="96"/>
      <c r="M18" s="96"/>
      <c r="N18" s="96"/>
      <c r="O18" s="102" t="s">
        <v>137</v>
      </c>
      <c r="Q18" s="448">
        <f ca="1">Q17+Q16</f>
        <v>51797.495177258708</v>
      </c>
      <c r="R18" s="449">
        <f ca="1">R16+R17</f>
        <v>99233.366011795835</v>
      </c>
      <c r="S18" s="449">
        <f ca="1">S16+S17</f>
        <v>34005.699706438347</v>
      </c>
      <c r="T18" s="450">
        <f>T16+T17</f>
        <v>39600.000199655005</v>
      </c>
      <c r="V18" s="440">
        <f ca="1">_xll.RiskOutput(,O18,3)+Q18+R18+S18+T18</f>
        <v>224636.56109514792</v>
      </c>
      <c r="W18" s="4" t="s">
        <v>41</v>
      </c>
      <c r="X18" s="1" t="s">
        <v>135</v>
      </c>
      <c r="AD18" s="5"/>
      <c r="AF18" s="101"/>
    </row>
    <row r="19" spans="2:32" ht="35.1" customHeight="1" x14ac:dyDescent="0.25">
      <c r="B19" s="91">
        <v>13</v>
      </c>
      <c r="C19" s="92" t="s">
        <v>38</v>
      </c>
      <c r="D19" s="93" t="s">
        <v>139</v>
      </c>
      <c r="E19" s="94">
        <f ca="1">E17+E18</f>
        <v>3877.8862088747965</v>
      </c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103" t="s">
        <v>126</v>
      </c>
      <c r="V19" s="441">
        <f ca="1">_xll.RiskOutput(,T19,4)+E22*V18/(1-(E22+E23))</f>
        <v>31503.907958465865</v>
      </c>
      <c r="X19" s="104" t="s">
        <v>116</v>
      </c>
      <c r="Y19" s="105" t="s">
        <v>117</v>
      </c>
      <c r="Z19" s="105" t="s">
        <v>118</v>
      </c>
      <c r="AA19" s="106" t="s">
        <v>119</v>
      </c>
      <c r="AD19" s="5"/>
      <c r="AF19" s="101"/>
    </row>
    <row r="20" spans="2:32" ht="35.1" customHeight="1" x14ac:dyDescent="0.25">
      <c r="B20" s="91">
        <v>14</v>
      </c>
      <c r="C20" s="92" t="s">
        <v>38</v>
      </c>
      <c r="D20" s="93" t="s">
        <v>129</v>
      </c>
      <c r="E20" s="107">
        <v>12</v>
      </c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102" t="s">
        <v>127</v>
      </c>
      <c r="V20" s="441">
        <f ca="1">_xll.RiskOutput(,T20,5)+E23*V18/(1-(E22+E23))</f>
        <v>17806.556672176357</v>
      </c>
      <c r="X20" s="451">
        <f ca="1">X21/Q16</f>
        <v>4.7958356184835784</v>
      </c>
      <c r="Y20" s="452">
        <v>0.7</v>
      </c>
      <c r="Z20" s="452">
        <v>0.3</v>
      </c>
      <c r="AA20" s="453">
        <v>0.15</v>
      </c>
      <c r="AC20" s="108" t="s">
        <v>149</v>
      </c>
      <c r="AF20" s="101"/>
    </row>
    <row r="21" spans="2:32" ht="35.1" customHeight="1" thickBot="1" x14ac:dyDescent="0.3">
      <c r="B21" s="91">
        <v>15</v>
      </c>
      <c r="C21" s="92" t="s">
        <v>38</v>
      </c>
      <c r="D21" s="93" t="s">
        <v>253</v>
      </c>
      <c r="E21" s="107">
        <f ca="1">E19/E20/40</f>
        <v>8.0789296018224928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02" t="s">
        <v>140</v>
      </c>
      <c r="V21" s="441">
        <f ca="1">_xll.RiskOutput(,T21,6)+V20+V19+V17</f>
        <v>120819.70951440683</v>
      </c>
      <c r="W21" s="4" t="s">
        <v>41</v>
      </c>
      <c r="X21" s="454">
        <f ca="1">V21-(Y21+Z21+AA21)</f>
        <v>44583.897174614423</v>
      </c>
      <c r="Y21" s="455">
        <f ca="1">R16*Y20</f>
        <v>68296.428693658163</v>
      </c>
      <c r="Z21" s="455">
        <f ca="1">S16*Z20</f>
        <v>1999.3836176859847</v>
      </c>
      <c r="AA21" s="456">
        <f>T16*AA20</f>
        <v>5940.0000284482503</v>
      </c>
      <c r="AC21" s="108" t="s">
        <v>150</v>
      </c>
    </row>
    <row r="22" spans="2:32" ht="35.1" customHeight="1" x14ac:dyDescent="0.25">
      <c r="B22" s="91">
        <v>16</v>
      </c>
      <c r="C22" s="92" t="s">
        <v>38</v>
      </c>
      <c r="D22" s="93" t="s">
        <v>154</v>
      </c>
      <c r="E22" s="109">
        <v>0.115</v>
      </c>
      <c r="F22" s="9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102" t="s">
        <v>128</v>
      </c>
      <c r="V22" s="440">
        <f ca="1">_xll.RiskOutput(,T22,7)+V18+V19</f>
        <v>256140.46905361378</v>
      </c>
      <c r="Z22" s="99" t="s">
        <v>40</v>
      </c>
      <c r="AA22" s="100">
        <f ca="1">SUM(X21:AA21)</f>
        <v>120819.70951440683</v>
      </c>
    </row>
    <row r="23" spans="2:32" ht="35.1" customHeight="1" x14ac:dyDescent="0.25">
      <c r="B23" s="91">
        <v>17</v>
      </c>
      <c r="C23" s="92" t="s">
        <v>38</v>
      </c>
      <c r="D23" s="93" t="s">
        <v>153</v>
      </c>
      <c r="E23" s="109">
        <v>6.5000000000000002E-2</v>
      </c>
      <c r="F23" s="95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102" t="s">
        <v>141</v>
      </c>
      <c r="V23" s="440">
        <f ca="1">_xll.RiskOutput(,T23,8)+V18+V19+V20</f>
        <v>273947.02572579012</v>
      </c>
      <c r="W23" s="4" t="s">
        <v>41</v>
      </c>
      <c r="X23" s="4" t="s">
        <v>148</v>
      </c>
    </row>
    <row r="24" spans="2:32" ht="35.1" customHeight="1" thickBot="1" x14ac:dyDescent="0.3">
      <c r="B24" s="110">
        <v>18</v>
      </c>
      <c r="C24" s="111" t="s">
        <v>38</v>
      </c>
      <c r="D24" s="112" t="s">
        <v>152</v>
      </c>
      <c r="E24" s="113">
        <v>0.19</v>
      </c>
      <c r="F24" s="95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102" t="s">
        <v>142</v>
      </c>
      <c r="V24" s="457">
        <f ca="1">_xll.RiskOutput(,T24,9)+V23*(1+E24)</f>
        <v>325996.96061369026</v>
      </c>
    </row>
    <row r="25" spans="2:32" ht="34.5" customHeight="1" thickBot="1" x14ac:dyDescent="0.3">
      <c r="V25" s="388" t="s">
        <v>125</v>
      </c>
    </row>
    <row r="26" spans="2:32" ht="21" thickBot="1" x14ac:dyDescent="0.3">
      <c r="E26" s="547" t="s">
        <v>169</v>
      </c>
      <c r="F26" s="548"/>
      <c r="G26" s="548"/>
      <c r="H26" s="548"/>
      <c r="I26" s="549"/>
      <c r="K26" s="568" t="s">
        <v>143</v>
      </c>
      <c r="L26" s="569"/>
      <c r="M26" s="570"/>
      <c r="O26" s="574" t="s">
        <v>293</v>
      </c>
      <c r="T26" s="168"/>
      <c r="V26" s="389">
        <f ca="1">_xll.RiskTarget(V24,V24)</f>
        <v>1</v>
      </c>
    </row>
    <row r="27" spans="2:32" ht="21" thickBot="1" x14ac:dyDescent="0.3">
      <c r="E27" s="550"/>
      <c r="F27" s="551"/>
      <c r="G27" s="551"/>
      <c r="H27" s="551"/>
      <c r="I27" s="552"/>
      <c r="K27" s="571"/>
      <c r="L27" s="572"/>
      <c r="M27" s="573"/>
      <c r="O27" s="575"/>
      <c r="T27" s="168"/>
    </row>
    <row r="28" spans="2:32" ht="24" customHeight="1" thickBot="1" x14ac:dyDescent="0.4">
      <c r="E28" s="550"/>
      <c r="F28" s="551"/>
      <c r="G28" s="551"/>
      <c r="H28" s="551"/>
      <c r="I28" s="552"/>
      <c r="K28" s="559" t="s">
        <v>172</v>
      </c>
      <c r="L28" s="560"/>
      <c r="M28" s="561"/>
      <c r="O28" s="576">
        <f ca="1">K31-V24</f>
        <v>0</v>
      </c>
      <c r="T28" s="168"/>
      <c r="AD28" s="6"/>
      <c r="AF28" s="4"/>
    </row>
    <row r="29" spans="2:32" ht="24" customHeight="1" thickBot="1" x14ac:dyDescent="0.3">
      <c r="E29" s="550"/>
      <c r="F29" s="551"/>
      <c r="G29" s="551"/>
      <c r="H29" s="551"/>
      <c r="I29" s="552"/>
      <c r="K29" s="562">
        <f ca="1">_xll.RiskPercentile($V$24,0.1)</f>
        <v>325996.96061369026</v>
      </c>
      <c r="L29" s="563"/>
      <c r="M29" s="564"/>
      <c r="O29" s="577"/>
      <c r="T29" s="168"/>
      <c r="AD29" s="6"/>
      <c r="AF29" s="4"/>
    </row>
    <row r="30" spans="2:32" ht="24" thickBot="1" x14ac:dyDescent="0.4">
      <c r="E30" s="550"/>
      <c r="F30" s="551"/>
      <c r="G30" s="551"/>
      <c r="H30" s="551"/>
      <c r="I30" s="552"/>
      <c r="K30" s="559" t="s">
        <v>171</v>
      </c>
      <c r="L30" s="560"/>
      <c r="M30" s="561"/>
      <c r="T30" s="168"/>
      <c r="AD30" s="6"/>
      <c r="AF30" s="4"/>
    </row>
    <row r="31" spans="2:32" ht="26.25" thickBot="1" x14ac:dyDescent="0.3">
      <c r="E31" s="550"/>
      <c r="F31" s="551"/>
      <c r="G31" s="551"/>
      <c r="H31" s="551"/>
      <c r="I31" s="552"/>
      <c r="K31" s="565">
        <f ca="1">_xll.RiskPercentile($V$24,0.45)</f>
        <v>325996.96061369026</v>
      </c>
      <c r="L31" s="566"/>
      <c r="M31" s="567"/>
      <c r="O31" s="518" t="s">
        <v>308</v>
      </c>
      <c r="T31" s="168"/>
      <c r="AD31" s="6"/>
      <c r="AF31" s="4"/>
    </row>
    <row r="32" spans="2:32" ht="26.25" customHeight="1" thickBot="1" x14ac:dyDescent="0.4">
      <c r="E32" s="553"/>
      <c r="F32" s="554"/>
      <c r="G32" s="554"/>
      <c r="H32" s="554"/>
      <c r="I32" s="555"/>
      <c r="K32" s="559" t="s">
        <v>170</v>
      </c>
      <c r="L32" s="560"/>
      <c r="M32" s="561"/>
      <c r="O32" s="545">
        <f ca="1">O28/V24</f>
        <v>0</v>
      </c>
      <c r="T32" s="168"/>
      <c r="W32" s="383"/>
      <c r="AD32" s="6"/>
      <c r="AF32" s="4"/>
    </row>
    <row r="33" spans="11:32" ht="24" customHeight="1" thickBot="1" x14ac:dyDescent="0.3">
      <c r="K33" s="556">
        <f ca="1">_xll.RiskPercentile($V$24,0.9)</f>
        <v>325996.96061369026</v>
      </c>
      <c r="L33" s="557"/>
      <c r="M33" s="558"/>
      <c r="O33" s="546"/>
      <c r="AD33" s="6"/>
      <c r="AF33" s="4"/>
    </row>
    <row r="34" spans="11:32" ht="17.25" customHeight="1" x14ac:dyDescent="0.25">
      <c r="AD34" s="6"/>
      <c r="AF34" s="4"/>
    </row>
    <row r="35" spans="11:32" x14ac:dyDescent="0.25">
      <c r="AD35" s="6"/>
      <c r="AF35" s="4"/>
    </row>
    <row r="36" spans="11:32" x14ac:dyDescent="0.25">
      <c r="AD36" s="6"/>
      <c r="AF36" s="4"/>
    </row>
    <row r="37" spans="11:32" x14ac:dyDescent="0.25">
      <c r="AD37" s="6"/>
      <c r="AF37" s="4"/>
    </row>
    <row r="38" spans="11:32" x14ac:dyDescent="0.25">
      <c r="AD38" s="6"/>
      <c r="AF38" s="4"/>
    </row>
    <row r="39" spans="11:32" x14ac:dyDescent="0.25">
      <c r="AD39" s="6"/>
      <c r="AF39" s="4"/>
    </row>
    <row r="40" spans="11:32" x14ac:dyDescent="0.25">
      <c r="AD40" s="6"/>
      <c r="AF40" s="4"/>
    </row>
    <row r="41" spans="11:32" x14ac:dyDescent="0.25">
      <c r="AD41" s="6"/>
      <c r="AF41" s="4"/>
    </row>
    <row r="42" spans="11:32" x14ac:dyDescent="0.25">
      <c r="AD42" s="6"/>
      <c r="AF42" s="4"/>
    </row>
    <row r="43" spans="11:32" x14ac:dyDescent="0.25">
      <c r="AD43" s="6"/>
      <c r="AF43" s="4"/>
    </row>
    <row r="44" spans="11:32" x14ac:dyDescent="0.25">
      <c r="AD44" s="6"/>
      <c r="AF44" s="4"/>
    </row>
    <row r="45" spans="11:32" x14ac:dyDescent="0.25">
      <c r="AD45" s="6"/>
      <c r="AF45" s="4"/>
    </row>
    <row r="46" spans="11:32" x14ac:dyDescent="0.25">
      <c r="AD46" s="6"/>
      <c r="AF46" s="4"/>
    </row>
    <row r="47" spans="11:32" x14ac:dyDescent="0.25">
      <c r="AD47" s="6"/>
      <c r="AF47" s="4"/>
    </row>
    <row r="48" spans="11:32" ht="20.25" x14ac:dyDescent="0.25">
      <c r="R48" s="168"/>
      <c r="S48" s="168"/>
      <c r="T48" s="168"/>
      <c r="AD48" s="6"/>
      <c r="AF48" s="4"/>
    </row>
    <row r="49" spans="15:32" ht="20.25" x14ac:dyDescent="0.25">
      <c r="R49" s="168"/>
      <c r="S49" s="168"/>
      <c r="T49" s="168"/>
      <c r="AD49" s="6"/>
      <c r="AF49" s="4"/>
    </row>
    <row r="50" spans="15:32" ht="20.25" x14ac:dyDescent="0.25">
      <c r="R50" s="168"/>
      <c r="S50" s="168"/>
      <c r="T50" s="168"/>
      <c r="AD50" s="6"/>
      <c r="AF50" s="4"/>
    </row>
    <row r="51" spans="15:32" ht="20.25" x14ac:dyDescent="0.25">
      <c r="R51" s="168"/>
      <c r="S51" s="168"/>
      <c r="T51" s="168"/>
      <c r="AD51" s="6"/>
      <c r="AF51" s="4"/>
    </row>
    <row r="52" spans="15:32" ht="20.25" x14ac:dyDescent="0.25">
      <c r="R52" s="168"/>
      <c r="S52" s="168"/>
      <c r="T52" s="168"/>
      <c r="AD52" s="6"/>
      <c r="AF52" s="4"/>
    </row>
    <row r="53" spans="15:32" ht="20.25" x14ac:dyDescent="0.25">
      <c r="R53" s="168"/>
      <c r="S53" s="168"/>
      <c r="T53" s="168"/>
      <c r="AD53" s="6"/>
      <c r="AF53" s="4"/>
    </row>
    <row r="54" spans="15:32" ht="20.25" x14ac:dyDescent="0.25">
      <c r="R54" s="168"/>
      <c r="S54" s="168"/>
      <c r="T54" s="168"/>
      <c r="AD54" s="6"/>
      <c r="AF54" s="4"/>
    </row>
    <row r="55" spans="15:32" ht="20.25" x14ac:dyDescent="0.25">
      <c r="R55" s="127"/>
      <c r="S55" s="127"/>
      <c r="T55" s="127"/>
      <c r="AD55" s="6"/>
      <c r="AF55" s="4"/>
    </row>
    <row r="56" spans="15:32" ht="20.25" x14ac:dyDescent="0.25">
      <c r="R56" s="127"/>
      <c r="S56" s="127"/>
      <c r="T56" s="127"/>
      <c r="AD56" s="6"/>
      <c r="AF56" s="4"/>
    </row>
    <row r="57" spans="15:32" ht="20.25" x14ac:dyDescent="0.25">
      <c r="R57" s="127"/>
      <c r="S57" s="127"/>
      <c r="T57" s="127"/>
      <c r="AD57" s="6"/>
      <c r="AF57" s="4"/>
    </row>
    <row r="58" spans="15:32" ht="20.25" x14ac:dyDescent="0.25">
      <c r="R58" s="127"/>
      <c r="S58" s="127"/>
      <c r="T58" s="127"/>
      <c r="AD58" s="6"/>
      <c r="AF58" s="4"/>
    </row>
    <row r="59" spans="15:32" x14ac:dyDescent="0.25">
      <c r="R59" s="167"/>
      <c r="S59" s="167"/>
      <c r="T59" s="167"/>
      <c r="AD59" s="6"/>
      <c r="AF59" s="4"/>
    </row>
    <row r="60" spans="15:32" ht="20.25" x14ac:dyDescent="0.25">
      <c r="O60" s="127"/>
      <c r="P60" s="127"/>
      <c r="Q60" s="127"/>
      <c r="AD60" s="6"/>
      <c r="AF60" s="4"/>
    </row>
    <row r="61" spans="15:32" x14ac:dyDescent="0.25">
      <c r="AD61" s="6"/>
      <c r="AF61" s="4"/>
    </row>
    <row r="62" spans="15:32" x14ac:dyDescent="0.25">
      <c r="AD62" s="6"/>
      <c r="AF62" s="4"/>
    </row>
  </sheetData>
  <mergeCells count="20">
    <mergeCell ref="O32:O33"/>
    <mergeCell ref="E26:I32"/>
    <mergeCell ref="K33:M33"/>
    <mergeCell ref="K28:M28"/>
    <mergeCell ref="K29:M29"/>
    <mergeCell ref="K30:M30"/>
    <mergeCell ref="K31:M31"/>
    <mergeCell ref="K32:M32"/>
    <mergeCell ref="K26:M27"/>
    <mergeCell ref="O26:O27"/>
    <mergeCell ref="O28:O29"/>
    <mergeCell ref="AF4:AF5"/>
    <mergeCell ref="J3:V3"/>
    <mergeCell ref="X3:AD3"/>
    <mergeCell ref="AD4:AD5"/>
    <mergeCell ref="B4:H4"/>
    <mergeCell ref="J4:M4"/>
    <mergeCell ref="Q4:T4"/>
    <mergeCell ref="X4:AA4"/>
    <mergeCell ref="AC4:AC5"/>
  </mergeCells>
  <printOptions horizontalCentered="1"/>
  <pageMargins left="0.51181102362204722" right="0.51181102362204722" top="0.98425196850393704" bottom="0.98425196850393704" header="0.31496062992125984" footer="0.31496062992125984"/>
  <pageSetup paperSize="8" scale="44" orientation="landscape" r:id="rId1"/>
  <headerFooter>
    <oddHeader>&amp;C&amp;"Arial,Standard"&amp;18Kalkulationsdatenblatt für die "Kalkulation über die Angebotssumme"</oddHeader>
    <oddFooter>&amp;L&amp;"Arial,Standard"&amp;12Printed: &amp;D - &amp;T
Prepared: 30.01.10 go&amp;R&amp;"Arial,Standard"&amp;12&amp;F - &amp;A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workbookViewId="0"/>
  </sheetViews>
  <sheetFormatPr baseColWidth="10" defaultRowHeight="15" x14ac:dyDescent="0.25"/>
  <sheetData>
    <row r="1" spans="1:40" x14ac:dyDescent="0.25">
      <c r="A1">
        <v>3</v>
      </c>
      <c r="B1">
        <v>0</v>
      </c>
    </row>
    <row r="2" spans="1:40" x14ac:dyDescent="0.25">
      <c r="A2">
        <v>0</v>
      </c>
    </row>
    <row r="3" spans="1:40" x14ac:dyDescent="0.25">
      <c r="A3" s="195">
        <f ca="1">Schedule!$L$14</f>
        <v>16.854837391666845</v>
      </c>
      <c r="B3" t="b">
        <v>1</v>
      </c>
      <c r="C3">
        <v>0</v>
      </c>
      <c r="D3">
        <v>1</v>
      </c>
      <c r="E3" t="s">
        <v>301</v>
      </c>
      <c r="F3">
        <v>1</v>
      </c>
      <c r="G3">
        <v>0</v>
      </c>
      <c r="H3">
        <v>0</v>
      </c>
      <c r="J3" t="s">
        <v>302</v>
      </c>
      <c r="K3" t="s">
        <v>303</v>
      </c>
      <c r="L3" t="s">
        <v>304</v>
      </c>
      <c r="AG3" s="195">
        <f ca="1">Schedule!$L$14</f>
        <v>16.854837391666845</v>
      </c>
      <c r="AH3">
        <v>42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0" x14ac:dyDescent="0.25">
      <c r="A4" s="195">
        <f ca="1">Schedule!$L$16</f>
        <v>26.854837391666845</v>
      </c>
      <c r="B4" t="b">
        <v>1</v>
      </c>
      <c r="C4">
        <v>0</v>
      </c>
      <c r="D4">
        <v>1</v>
      </c>
      <c r="E4" t="s">
        <v>305</v>
      </c>
      <c r="F4">
        <v>1</v>
      </c>
      <c r="G4">
        <v>0</v>
      </c>
      <c r="H4">
        <v>0</v>
      </c>
      <c r="J4" t="s">
        <v>302</v>
      </c>
      <c r="K4" t="s">
        <v>303</v>
      </c>
      <c r="L4" t="s">
        <v>304</v>
      </c>
      <c r="AG4" s="195">
        <f ca="1">Schedule!$L$16</f>
        <v>26.854837391666845</v>
      </c>
      <c r="AH4">
        <v>44</v>
      </c>
      <c r="AI4">
        <v>1</v>
      </c>
      <c r="AJ4" t="b">
        <v>0</v>
      </c>
      <c r="AK4" t="b">
        <v>1</v>
      </c>
      <c r="AL4">
        <v>0</v>
      </c>
      <c r="AM4" t="b">
        <v>0</v>
      </c>
      <c r="AN4" t="e">
        <f>_</f>
        <v>#NAME?</v>
      </c>
    </row>
    <row r="5" spans="1:40" x14ac:dyDescent="0.25">
      <c r="A5" s="195">
        <f ca="1">Schedule!$T$22</f>
        <v>33.340786131397699</v>
      </c>
      <c r="B5" t="b">
        <v>1</v>
      </c>
      <c r="C5">
        <v>0</v>
      </c>
      <c r="D5">
        <v>1</v>
      </c>
      <c r="E5" t="s">
        <v>306</v>
      </c>
      <c r="F5">
        <v>1</v>
      </c>
      <c r="G5">
        <v>0</v>
      </c>
      <c r="H5">
        <v>0</v>
      </c>
      <c r="J5" t="s">
        <v>302</v>
      </c>
      <c r="K5" t="s">
        <v>303</v>
      </c>
      <c r="L5" t="s">
        <v>304</v>
      </c>
      <c r="AG5" s="195">
        <f ca="1">Schedule!$T$22</f>
        <v>33.340786131397699</v>
      </c>
      <c r="AH5">
        <v>49</v>
      </c>
      <c r="AI5">
        <v>1</v>
      </c>
      <c r="AJ5" t="b">
        <v>0</v>
      </c>
      <c r="AK5" t="b">
        <v>1</v>
      </c>
      <c r="AL5">
        <v>0</v>
      </c>
      <c r="AM5" t="b">
        <v>0</v>
      </c>
      <c r="AN5" t="e">
        <f>_</f>
        <v>#NAME?</v>
      </c>
    </row>
    <row r="6" spans="1:40" x14ac:dyDescent="0.25">
      <c r="A6">
        <v>0</v>
      </c>
    </row>
    <row r="7" spans="1:40" x14ac:dyDescent="0.25">
      <c r="A7" t="b">
        <v>0</v>
      </c>
      <c r="B7">
        <v>14000</v>
      </c>
      <c r="C7" s="510">
        <v>6709375</v>
      </c>
      <c r="D7">
        <v>36400</v>
      </c>
      <c r="E7">
        <v>100</v>
      </c>
    </row>
    <row r="8" spans="1:40" x14ac:dyDescent="0.25">
      <c r="A8" t="b">
        <v>0</v>
      </c>
      <c r="B8">
        <v>14000</v>
      </c>
      <c r="C8" s="510">
        <v>6709375</v>
      </c>
      <c r="D8">
        <v>36400</v>
      </c>
      <c r="E8">
        <v>500</v>
      </c>
    </row>
    <row r="9" spans="1:40" x14ac:dyDescent="0.25">
      <c r="A9" t="b">
        <v>0</v>
      </c>
      <c r="B9">
        <v>14000</v>
      </c>
      <c r="C9" s="510">
        <v>6709375</v>
      </c>
      <c r="D9">
        <v>36400</v>
      </c>
      <c r="E9">
        <v>1000</v>
      </c>
    </row>
    <row r="10" spans="1:40" x14ac:dyDescent="0.25">
      <c r="A10" t="b">
        <v>0</v>
      </c>
      <c r="B10">
        <v>14000</v>
      </c>
      <c r="C10" s="510">
        <v>6709375</v>
      </c>
      <c r="D10">
        <v>36400</v>
      </c>
      <c r="E10">
        <v>1500</v>
      </c>
    </row>
    <row r="11" spans="1:40" x14ac:dyDescent="0.25">
      <c r="A11" t="b">
        <v>0</v>
      </c>
      <c r="B11">
        <v>14000</v>
      </c>
      <c r="C11" s="510">
        <v>6709375</v>
      </c>
      <c r="D11">
        <v>36400</v>
      </c>
      <c r="E11">
        <v>2000</v>
      </c>
    </row>
    <row r="12" spans="1:40" x14ac:dyDescent="0.25">
      <c r="A12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2"/>
  <sheetViews>
    <sheetView zoomScale="115" zoomScaleNormal="115" workbookViewId="0">
      <selection activeCell="X19" sqref="X19"/>
    </sheetView>
  </sheetViews>
  <sheetFormatPr baseColWidth="10" defaultRowHeight="15" x14ac:dyDescent="0.25"/>
  <cols>
    <col min="1" max="1" width="6.7109375" customWidth="1"/>
    <col min="2" max="2" width="4.42578125" bestFit="1" customWidth="1"/>
    <col min="3" max="3" width="2.28515625" bestFit="1" customWidth="1"/>
    <col min="4" max="4" width="8.85546875" bestFit="1" customWidth="1"/>
    <col min="5" max="5" width="2.28515625" bestFit="1" customWidth="1"/>
    <col min="6" max="6" width="6.7109375" customWidth="1"/>
    <col min="7" max="7" width="4.42578125" bestFit="1" customWidth="1"/>
    <col min="8" max="8" width="3.5703125" bestFit="1" customWidth="1"/>
    <col min="9" max="9" width="8.85546875" bestFit="1" customWidth="1"/>
    <col min="10" max="10" width="4.140625" bestFit="1" customWidth="1"/>
    <col min="11" max="11" width="8.85546875" bestFit="1" customWidth="1"/>
    <col min="12" max="12" width="3.42578125" bestFit="1" customWidth="1"/>
    <col min="13" max="13" width="8.85546875" bestFit="1" customWidth="1"/>
    <col min="14" max="14" width="3.42578125" bestFit="1" customWidth="1"/>
    <col min="15" max="15" width="8.85546875" bestFit="1" customWidth="1"/>
    <col min="16" max="16" width="3.42578125" bestFit="1" customWidth="1"/>
    <col min="17" max="17" width="8.85546875" bestFit="1" customWidth="1"/>
    <col min="18" max="18" width="3.42578125" bestFit="1" customWidth="1"/>
    <col min="19" max="19" width="8.85546875" bestFit="1" customWidth="1"/>
    <col min="20" max="20" width="3.42578125" bestFit="1" customWidth="1"/>
    <col min="21" max="21" width="8.85546875" bestFit="1" customWidth="1"/>
    <col min="22" max="22" width="8.7109375" bestFit="1" customWidth="1"/>
  </cols>
  <sheetData>
    <row r="1" spans="2:34" ht="15.75" thickBot="1" x14ac:dyDescent="0.3"/>
    <row r="2" spans="2:34" x14ac:dyDescent="0.25">
      <c r="B2" s="202" t="s">
        <v>49</v>
      </c>
      <c r="C2" s="203">
        <v>0</v>
      </c>
      <c r="D2" s="204" t="s">
        <v>183</v>
      </c>
      <c r="E2" s="205">
        <v>0</v>
      </c>
      <c r="G2" s="202" t="s">
        <v>49</v>
      </c>
      <c r="H2" s="203"/>
      <c r="I2" s="204" t="s">
        <v>183</v>
      </c>
      <c r="J2" s="205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</row>
    <row r="3" spans="2:34" x14ac:dyDescent="0.25">
      <c r="B3" s="584" t="s">
        <v>57</v>
      </c>
      <c r="C3" s="585"/>
      <c r="D3" s="585"/>
      <c r="E3" s="586"/>
      <c r="G3" s="587" t="s">
        <v>50</v>
      </c>
      <c r="H3" s="588"/>
      <c r="I3" s="588"/>
      <c r="J3" s="589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</row>
    <row r="4" spans="2:34" x14ac:dyDescent="0.25">
      <c r="B4" s="196">
        <v>0</v>
      </c>
      <c r="C4" s="197">
        <v>0</v>
      </c>
      <c r="D4" s="197">
        <v>0</v>
      </c>
      <c r="E4" s="198">
        <v>0</v>
      </c>
      <c r="G4" s="196" t="s">
        <v>51</v>
      </c>
      <c r="H4" s="197" t="s">
        <v>52</v>
      </c>
      <c r="I4" s="197" t="s">
        <v>53</v>
      </c>
      <c r="J4" s="198" t="s">
        <v>54</v>
      </c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</row>
    <row r="5" spans="2:34" ht="15.75" thickBot="1" x14ac:dyDescent="0.3">
      <c r="B5" s="199">
        <v>0</v>
      </c>
      <c r="C5" s="200"/>
      <c r="D5" s="200"/>
      <c r="E5" s="201">
        <v>0</v>
      </c>
      <c r="G5" s="199" t="s">
        <v>55</v>
      </c>
      <c r="H5" s="200"/>
      <c r="I5" s="200"/>
      <c r="J5" s="201" t="s">
        <v>56</v>
      </c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</row>
    <row r="6" spans="2:34" x14ac:dyDescent="0.25"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</row>
    <row r="7" spans="2:34" ht="15.75" thickBot="1" x14ac:dyDescent="0.3"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</row>
    <row r="8" spans="2:34" x14ac:dyDescent="0.25">
      <c r="B8" s="202" t="s">
        <v>49</v>
      </c>
      <c r="C8" s="203">
        <v>0</v>
      </c>
      <c r="D8" s="204" t="s">
        <v>183</v>
      </c>
      <c r="E8" s="205">
        <v>3</v>
      </c>
      <c r="G8" s="202" t="s">
        <v>49</v>
      </c>
      <c r="H8" s="203">
        <v>0</v>
      </c>
      <c r="I8" s="204" t="s">
        <v>183</v>
      </c>
      <c r="J8" s="206">
        <f ca="1">_xll.RiskOutput("Duration / Excavation")+Calculations!L3</f>
        <v>5.6055694207901139</v>
      </c>
      <c r="M8" s="202" t="s">
        <v>49</v>
      </c>
      <c r="N8" s="203">
        <v>0</v>
      </c>
      <c r="O8" s="204" t="s">
        <v>183</v>
      </c>
      <c r="P8" s="206">
        <f ca="1">_xll.RiskOutput("Duration / Backfill")+Calculations!L11</f>
        <v>2.1259065474582481</v>
      </c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</row>
    <row r="9" spans="2:34" x14ac:dyDescent="0.25">
      <c r="B9" s="584" t="s">
        <v>58</v>
      </c>
      <c r="C9" s="585"/>
      <c r="D9" s="585"/>
      <c r="E9" s="586"/>
      <c r="G9" s="578" t="s">
        <v>90</v>
      </c>
      <c r="H9" s="579"/>
      <c r="I9" s="579"/>
      <c r="J9" s="580"/>
      <c r="M9" s="578" t="s">
        <v>248</v>
      </c>
      <c r="N9" s="579"/>
      <c r="O9" s="579"/>
      <c r="P9" s="58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</row>
    <row r="10" spans="2:34" x14ac:dyDescent="0.25">
      <c r="B10" s="208">
        <v>0</v>
      </c>
      <c r="C10" s="209">
        <v>0</v>
      </c>
      <c r="D10" s="209">
        <v>0</v>
      </c>
      <c r="E10" s="207">
        <f>B10+E8</f>
        <v>3</v>
      </c>
      <c r="F10" s="195"/>
      <c r="G10" s="208">
        <v>4</v>
      </c>
      <c r="H10" s="209">
        <v>0</v>
      </c>
      <c r="I10" s="209">
        <v>0</v>
      </c>
      <c r="J10" s="207">
        <f ca="1">_xll.RiskOutput("Excavation Schedule")+G10+J8</f>
        <v>9.6055694207901148</v>
      </c>
      <c r="M10" s="208">
        <f ca="1">L16</f>
        <v>26.854837391666845</v>
      </c>
      <c r="N10" s="209">
        <v>0</v>
      </c>
      <c r="O10" s="209">
        <v>0</v>
      </c>
      <c r="P10" s="207">
        <f ca="1">_xll.RiskOutput("Backfill Foundation Schedule")+M10+P8</f>
        <v>28.980743939125091</v>
      </c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</row>
    <row r="11" spans="2:34" ht="15.75" thickBot="1" x14ac:dyDescent="0.3">
      <c r="B11" s="210">
        <v>0</v>
      </c>
      <c r="C11" s="211"/>
      <c r="D11" s="211"/>
      <c r="E11" s="212">
        <v>0</v>
      </c>
      <c r="F11" s="195"/>
      <c r="G11" s="210">
        <v>0</v>
      </c>
      <c r="H11" s="211"/>
      <c r="I11" s="211"/>
      <c r="J11" s="212">
        <v>0</v>
      </c>
      <c r="M11" s="210">
        <v>0</v>
      </c>
      <c r="N11" s="211"/>
      <c r="O11" s="211"/>
      <c r="P11" s="212">
        <v>0</v>
      </c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</row>
    <row r="12" spans="2:34" x14ac:dyDescent="0.25"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</row>
    <row r="13" spans="2:34" ht="15.75" thickBot="1" x14ac:dyDescent="0.3"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</row>
    <row r="14" spans="2:34" x14ac:dyDescent="0.25">
      <c r="I14" s="202" t="s">
        <v>49</v>
      </c>
      <c r="J14" s="203">
        <v>0</v>
      </c>
      <c r="K14" s="204" t="s">
        <v>183</v>
      </c>
      <c r="L14" s="206">
        <f ca="1">_xll.RiskOutput("Duration / Concrete Foundation")+Calculations!L7</f>
        <v>16.854837391666845</v>
      </c>
      <c r="O14" s="202" t="s">
        <v>49</v>
      </c>
      <c r="P14" s="203">
        <v>0</v>
      </c>
      <c r="Q14" s="204" t="s">
        <v>183</v>
      </c>
      <c r="R14" s="206">
        <f>_xll.RiskOutput("Duration / Rework")+3</f>
        <v>3</v>
      </c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</row>
    <row r="15" spans="2:34" x14ac:dyDescent="0.25">
      <c r="I15" s="578" t="s">
        <v>249</v>
      </c>
      <c r="J15" s="579"/>
      <c r="K15" s="579"/>
      <c r="L15" s="580"/>
      <c r="O15" s="578" t="s">
        <v>250</v>
      </c>
      <c r="P15" s="579"/>
      <c r="Q15" s="579"/>
      <c r="R15" s="58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</row>
    <row r="16" spans="2:34" ht="15.75" thickBot="1" x14ac:dyDescent="0.3">
      <c r="I16" s="208">
        <f>G10+6</f>
        <v>10</v>
      </c>
      <c r="J16" s="209">
        <v>0</v>
      </c>
      <c r="K16" s="209">
        <v>0</v>
      </c>
      <c r="L16" s="207">
        <f ca="1">_xll.RiskOutput("Concrete foundation Schedule")+I16+L14</f>
        <v>26.854837391666845</v>
      </c>
      <c r="O16" s="208">
        <f ca="1">R16-R14</f>
        <v>27.222222222222221</v>
      </c>
      <c r="P16" s="209">
        <v>0</v>
      </c>
      <c r="Q16" s="209">
        <v>0</v>
      </c>
      <c r="R16" s="207">
        <f ca="1">_xll.RiskOutput("Rework Schedule")+N22</f>
        <v>30.222222222222221</v>
      </c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</row>
    <row r="17" spans="2:34" ht="16.5" thickBot="1" x14ac:dyDescent="0.3">
      <c r="B17" s="593" t="s">
        <v>167</v>
      </c>
      <c r="C17" s="594"/>
      <c r="D17" s="595"/>
      <c r="I17" s="210">
        <v>0</v>
      </c>
      <c r="J17" s="211"/>
      <c r="K17" s="211"/>
      <c r="L17" s="212">
        <v>0</v>
      </c>
      <c r="O17" s="210">
        <v>0</v>
      </c>
      <c r="P17" s="211"/>
      <c r="Q17" s="211"/>
      <c r="R17" s="212">
        <v>0</v>
      </c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</row>
    <row r="18" spans="2:34" ht="15.75" thickBot="1" x14ac:dyDescent="0.3">
      <c r="B18" s="590" t="s">
        <v>172</v>
      </c>
      <c r="C18" s="591"/>
      <c r="D18" s="592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</row>
    <row r="19" spans="2:34" ht="15.75" thickBot="1" x14ac:dyDescent="0.3">
      <c r="B19" s="581">
        <f ca="1">_xll.RiskPercentile($V$28,0.1)</f>
        <v>33.340786131397699</v>
      </c>
      <c r="C19" s="582"/>
      <c r="D19" s="583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</row>
    <row r="20" spans="2:34" ht="15.75" thickBot="1" x14ac:dyDescent="0.3">
      <c r="B20" s="590" t="s">
        <v>291</v>
      </c>
      <c r="C20" s="591"/>
      <c r="D20" s="592"/>
      <c r="K20" s="202" t="s">
        <v>49</v>
      </c>
      <c r="L20" s="203">
        <v>0</v>
      </c>
      <c r="M20" s="204" t="s">
        <v>183</v>
      </c>
      <c r="N20" s="206">
        <f ca="1">_xll.RiskOutput("Duration / Prefabricated Columns")+Calculations!L9</f>
        <v>11.222222222222221</v>
      </c>
      <c r="Q20" s="202" t="s">
        <v>49</v>
      </c>
      <c r="R20" s="203">
        <v>0</v>
      </c>
      <c r="S20" s="204" t="s">
        <v>183</v>
      </c>
      <c r="T20" s="206">
        <f>_xll.RiskOutput("Duration / Clear the site")+E10</f>
        <v>3</v>
      </c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</row>
    <row r="21" spans="2:34" ht="15.75" thickBot="1" x14ac:dyDescent="0.3">
      <c r="B21" s="581">
        <f ca="1">_xll.RiskPercentile($V$28,0.45)</f>
        <v>33.340786131397699</v>
      </c>
      <c r="C21" s="582"/>
      <c r="D21" s="583"/>
      <c r="K21" s="578" t="s">
        <v>251</v>
      </c>
      <c r="L21" s="579"/>
      <c r="M21" s="579"/>
      <c r="N21" s="580"/>
      <c r="Q21" s="578" t="s">
        <v>252</v>
      </c>
      <c r="R21" s="579"/>
      <c r="S21" s="579"/>
      <c r="T21" s="58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</row>
    <row r="22" spans="2:34" ht="15.75" thickBot="1" x14ac:dyDescent="0.3">
      <c r="B22" s="590" t="s">
        <v>247</v>
      </c>
      <c r="C22" s="591"/>
      <c r="D22" s="592"/>
      <c r="K22" s="208">
        <f>I16+9</f>
        <v>19</v>
      </c>
      <c r="L22" s="209">
        <v>0</v>
      </c>
      <c r="M22" s="209">
        <v>0</v>
      </c>
      <c r="N22" s="207">
        <f ca="1">_xll.RiskOutput("Prefabricated columns Schedule")+K22+N20</f>
        <v>30.222222222222221</v>
      </c>
      <c r="Q22" s="208">
        <f ca="1">P28</f>
        <v>30.340786131397699</v>
      </c>
      <c r="R22" s="209">
        <v>0</v>
      </c>
      <c r="S22" s="209">
        <v>0</v>
      </c>
      <c r="T22" s="207">
        <f ca="1">_xll.RiskOutput("Clear the site Schedule")+Q22+T20</f>
        <v>33.340786131397699</v>
      </c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</row>
    <row r="23" spans="2:34" ht="15.75" thickBot="1" x14ac:dyDescent="0.3">
      <c r="B23" s="581">
        <f ca="1">_xll.RiskPercentile($V$28,0.9)</f>
        <v>33.340786131397699</v>
      </c>
      <c r="C23" s="582"/>
      <c r="D23" s="583"/>
      <c r="K23" s="210">
        <v>0</v>
      </c>
      <c r="L23" s="211"/>
      <c r="M23" s="211"/>
      <c r="N23" s="212">
        <v>0</v>
      </c>
      <c r="Q23" s="210">
        <v>0</v>
      </c>
      <c r="R23" s="211"/>
      <c r="S23" s="211"/>
      <c r="T23" s="212">
        <v>0</v>
      </c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</row>
    <row r="24" spans="2:34" x14ac:dyDescent="0.25"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</row>
    <row r="25" spans="2:34" ht="15.75" thickBot="1" x14ac:dyDescent="0.3"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</row>
    <row r="26" spans="2:34" x14ac:dyDescent="0.25">
      <c r="M26" s="202" t="s">
        <v>49</v>
      </c>
      <c r="N26" s="203">
        <v>0</v>
      </c>
      <c r="O26" s="204" t="s">
        <v>183</v>
      </c>
      <c r="P26" s="206">
        <f ca="1">_xll.RiskOutput("Duration / Masonry")+Calculations!L10</f>
        <v>8.3407861313976994</v>
      </c>
      <c r="S26" s="202" t="s">
        <v>49</v>
      </c>
      <c r="T26" s="203">
        <v>0</v>
      </c>
      <c r="U26" s="204" t="s">
        <v>183</v>
      </c>
      <c r="V26" s="206">
        <f>K10</f>
        <v>0</v>
      </c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</row>
    <row r="27" spans="2:34" x14ac:dyDescent="0.25">
      <c r="M27" s="578" t="s">
        <v>99</v>
      </c>
      <c r="N27" s="579"/>
      <c r="O27" s="579"/>
      <c r="P27" s="580"/>
      <c r="S27" s="578" t="s">
        <v>59</v>
      </c>
      <c r="T27" s="579"/>
      <c r="U27" s="579"/>
      <c r="V27" s="58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</row>
    <row r="28" spans="2:34" x14ac:dyDescent="0.25">
      <c r="M28" s="208">
        <f>K22+3</f>
        <v>22</v>
      </c>
      <c r="N28" s="209">
        <v>0</v>
      </c>
      <c r="O28" s="209">
        <v>0</v>
      </c>
      <c r="P28" s="207">
        <f ca="1">_xll.RiskOutput("Brick masonry Schedule")+M28+P26</f>
        <v>30.340786131397699</v>
      </c>
      <c r="S28" s="208">
        <f ca="1">T22</f>
        <v>33.340786131397699</v>
      </c>
      <c r="T28" s="209">
        <v>0</v>
      </c>
      <c r="U28" s="209">
        <v>0</v>
      </c>
      <c r="V28" s="207">
        <f ca="1">_xll.RiskOutput("End Schedule")+S28+V26</f>
        <v>33.340786131397699</v>
      </c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</row>
    <row r="29" spans="2:34" ht="15.75" thickBot="1" x14ac:dyDescent="0.3">
      <c r="M29" s="210">
        <v>0</v>
      </c>
      <c r="N29" s="211"/>
      <c r="O29" s="211"/>
      <c r="P29" s="212">
        <v>0</v>
      </c>
      <c r="S29" s="210">
        <v>0</v>
      </c>
      <c r="T29" s="211"/>
      <c r="U29" s="211"/>
      <c r="V29" s="212">
        <v>0</v>
      </c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</row>
    <row r="30" spans="2:34" ht="15.75" thickBot="1" x14ac:dyDescent="0.3"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</row>
    <row r="31" spans="2:34" ht="15.75" thickBot="1" x14ac:dyDescent="0.3">
      <c r="S31" s="596" t="s">
        <v>125</v>
      </c>
      <c r="T31" s="597"/>
      <c r="U31" s="598"/>
      <c r="V31" s="390">
        <f ca="1">_xll.RiskTarget(V28,V28)</f>
        <v>1</v>
      </c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</row>
    <row r="32" spans="2:34" ht="15.75" thickBot="1" x14ac:dyDescent="0.3">
      <c r="S32" s="596" t="s">
        <v>165</v>
      </c>
      <c r="T32" s="597"/>
      <c r="U32" s="598"/>
      <c r="V32" s="526">
        <f ca="1">_xll.RiskPercentile(V28,0.45)</f>
        <v>33.340786131397699</v>
      </c>
    </row>
  </sheetData>
  <mergeCells count="20">
    <mergeCell ref="S27:V27"/>
    <mergeCell ref="K21:N21"/>
    <mergeCell ref="I15:L15"/>
    <mergeCell ref="S32:U32"/>
    <mergeCell ref="S31:U31"/>
    <mergeCell ref="M27:P27"/>
    <mergeCell ref="M9:P9"/>
    <mergeCell ref="O15:R15"/>
    <mergeCell ref="B23:D23"/>
    <mergeCell ref="B3:E3"/>
    <mergeCell ref="B9:E9"/>
    <mergeCell ref="G3:J3"/>
    <mergeCell ref="G9:J9"/>
    <mergeCell ref="B22:D22"/>
    <mergeCell ref="B17:D17"/>
    <mergeCell ref="B18:D18"/>
    <mergeCell ref="B20:D20"/>
    <mergeCell ref="B21:D21"/>
    <mergeCell ref="B19:D19"/>
    <mergeCell ref="Q21:T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8"/>
  <sheetViews>
    <sheetView zoomScale="85" zoomScaleNormal="85" workbookViewId="0">
      <selection activeCell="B2" sqref="B2"/>
    </sheetView>
  </sheetViews>
  <sheetFormatPr baseColWidth="10" defaultRowHeight="15" x14ac:dyDescent="0.25"/>
  <cols>
    <col min="1" max="1" width="2" customWidth="1"/>
    <col min="2" max="2" width="22.5703125" customWidth="1"/>
    <col min="3" max="3" width="15.7109375" customWidth="1"/>
    <col min="4" max="4" width="11" bestFit="1" customWidth="1"/>
    <col min="5" max="5" width="13.7109375" bestFit="1" customWidth="1"/>
    <col min="6" max="6" width="14.28515625" bestFit="1" customWidth="1"/>
    <col min="7" max="7" width="13.7109375" bestFit="1" customWidth="1"/>
    <col min="8" max="8" width="12.5703125" bestFit="1" customWidth="1"/>
    <col min="9" max="9" width="13.140625" bestFit="1" customWidth="1"/>
    <col min="10" max="10" width="13.7109375" bestFit="1" customWidth="1"/>
    <col min="11" max="11" width="11.7109375" bestFit="1" customWidth="1"/>
    <col min="12" max="12" width="10.42578125" bestFit="1" customWidth="1"/>
    <col min="13" max="13" width="13.140625" bestFit="1" customWidth="1"/>
    <col min="14" max="14" width="14.140625" bestFit="1" customWidth="1"/>
    <col min="15" max="16" width="13.7109375" bestFit="1" customWidth="1"/>
    <col min="17" max="17" width="17.42578125" bestFit="1" customWidth="1"/>
    <col min="18" max="18" width="2.42578125" customWidth="1"/>
    <col min="19" max="19" width="14.42578125" bestFit="1" customWidth="1"/>
    <col min="20" max="20" width="8.7109375" bestFit="1" customWidth="1"/>
    <col min="21" max="22" width="11.28515625" bestFit="1" customWidth="1"/>
    <col min="23" max="23" width="15.28515625" bestFit="1" customWidth="1"/>
    <col min="24" max="24" width="13.7109375" bestFit="1" customWidth="1"/>
    <col min="25" max="25" width="18.85546875" bestFit="1" customWidth="1"/>
    <col min="26" max="26" width="5.85546875" customWidth="1"/>
    <col min="27" max="27" width="11.85546875" bestFit="1" customWidth="1"/>
    <col min="28" max="28" width="15.5703125" bestFit="1" customWidth="1"/>
    <col min="29" max="29" width="10" bestFit="1" customWidth="1"/>
    <col min="30" max="30" width="11.42578125" bestFit="1" customWidth="1"/>
    <col min="31" max="31" width="3.28515625" customWidth="1"/>
    <col min="32" max="32" width="11.85546875" bestFit="1" customWidth="1"/>
    <col min="33" max="33" width="14.42578125" bestFit="1" customWidth="1"/>
    <col min="34" max="34" width="10" bestFit="1" customWidth="1"/>
    <col min="35" max="35" width="13.28515625" bestFit="1" customWidth="1"/>
  </cols>
  <sheetData>
    <row r="1" spans="2:35" ht="5.25" customHeight="1" thickBot="1" x14ac:dyDescent="0.3"/>
    <row r="2" spans="2:35" ht="32.25" thickBot="1" x14ac:dyDescent="0.3">
      <c r="B2" s="186" t="s">
        <v>173</v>
      </c>
      <c r="C2" s="187" t="s">
        <v>95</v>
      </c>
      <c r="D2" s="186" t="s">
        <v>94</v>
      </c>
      <c r="E2" s="188" t="s">
        <v>163</v>
      </c>
      <c r="F2" s="188" t="s">
        <v>94</v>
      </c>
      <c r="G2" s="270" t="s">
        <v>174</v>
      </c>
      <c r="H2" s="186" t="s">
        <v>94</v>
      </c>
      <c r="I2" s="270" t="s">
        <v>175</v>
      </c>
      <c r="J2" s="186" t="s">
        <v>162</v>
      </c>
      <c r="K2" s="270" t="s">
        <v>205</v>
      </c>
      <c r="L2" s="270" t="s">
        <v>191</v>
      </c>
      <c r="M2" s="270" t="s">
        <v>171</v>
      </c>
    </row>
    <row r="3" spans="2:35" x14ac:dyDescent="0.25">
      <c r="B3" s="181" t="s">
        <v>90</v>
      </c>
      <c r="C3" s="374">
        <f>((3.2 + 2.5)/2)*0.9*300</f>
        <v>769.5</v>
      </c>
      <c r="D3" s="175" t="s">
        <v>46</v>
      </c>
      <c r="E3" s="189">
        <f ca="1">Inputs!H5</f>
        <v>8.5796368557364353</v>
      </c>
      <c r="F3" s="190" t="s">
        <v>103</v>
      </c>
      <c r="G3" s="511">
        <f ca="1">Inputs!G5</f>
        <v>0.2331100993700892</v>
      </c>
      <c r="H3" s="193" t="s">
        <v>206</v>
      </c>
      <c r="I3" s="380">
        <f ca="1">C3/E3</f>
        <v>89.689110732641822</v>
      </c>
      <c r="J3" s="515">
        <f ca="1">Inputs!E5</f>
        <v>2</v>
      </c>
      <c r="K3" s="380">
        <f ca="1">I3/J3</f>
        <v>44.844555366320911</v>
      </c>
      <c r="L3" s="377">
        <f ca="1">_xll.RiskOutput("Excavation / Duration  (day)")+K3/8</f>
        <v>5.6055694207901139</v>
      </c>
      <c r="M3" s="377">
        <f ca="1">_xll.RiskPercentile(L3,0.45)</f>
        <v>5.6055694207901139</v>
      </c>
    </row>
    <row r="4" spans="2:35" x14ac:dyDescent="0.25">
      <c r="B4" s="182" t="s">
        <v>307</v>
      </c>
      <c r="C4" s="375">
        <f>2*0.1*300</f>
        <v>60</v>
      </c>
      <c r="D4" s="177" t="s">
        <v>46</v>
      </c>
      <c r="E4" s="191"/>
      <c r="F4" s="191"/>
      <c r="G4" s="512"/>
      <c r="H4" s="177"/>
      <c r="I4" s="381"/>
      <c r="J4" s="516"/>
      <c r="K4" s="381"/>
      <c r="L4" s="378"/>
      <c r="M4" s="378"/>
    </row>
    <row r="5" spans="2:35" x14ac:dyDescent="0.25">
      <c r="B5" s="182" t="s">
        <v>48</v>
      </c>
      <c r="C5" s="375">
        <f>2*300</f>
        <v>600</v>
      </c>
      <c r="D5" s="177" t="s">
        <v>47</v>
      </c>
      <c r="E5" s="190">
        <f ca="1">Inputs!H11</f>
        <v>16.076733611878101</v>
      </c>
      <c r="F5" s="191" t="s">
        <v>104</v>
      </c>
      <c r="G5" s="513">
        <f ca="1">Inputs!G11</f>
        <v>0.12440337995787429</v>
      </c>
      <c r="H5" s="177" t="s">
        <v>207</v>
      </c>
      <c r="I5" s="381">
        <f ca="1">C5/E5</f>
        <v>37.321013987362285</v>
      </c>
      <c r="J5" s="516">
        <f ca="1">Inputs!E11</f>
        <v>2</v>
      </c>
      <c r="K5" s="381">
        <f t="shared" ref="K5:K11" ca="1" si="0">I5/J5</f>
        <v>18.660506993681143</v>
      </c>
      <c r="L5" s="378">
        <f ca="1">_xll.RiskOutput("Blinding / Duration  (day)")+K5/8</f>
        <v>2.3325633742101428</v>
      </c>
      <c r="M5" s="378">
        <f ca="1">_xll.RiskPercentile(L5,0.45)</f>
        <v>2.3325633742101428</v>
      </c>
    </row>
    <row r="6" spans="2:35" x14ac:dyDescent="0.25">
      <c r="B6" s="182" t="s">
        <v>231</v>
      </c>
      <c r="C6" s="375">
        <f>2*(0.65*(300+1.5))</f>
        <v>391.95</v>
      </c>
      <c r="D6" s="177" t="s">
        <v>47</v>
      </c>
      <c r="E6" s="191"/>
      <c r="F6" s="191"/>
      <c r="G6" s="512"/>
      <c r="H6" s="177"/>
      <c r="I6" s="381"/>
      <c r="J6" s="516"/>
      <c r="K6" s="381"/>
      <c r="L6" s="378"/>
      <c r="M6" s="378"/>
    </row>
    <row r="7" spans="2:35" x14ac:dyDescent="0.25">
      <c r="B7" s="182" t="s">
        <v>232</v>
      </c>
      <c r="C7" s="375">
        <f>0.6*1.5*300</f>
        <v>270</v>
      </c>
      <c r="D7" s="177" t="s">
        <v>46</v>
      </c>
      <c r="E7" s="190">
        <f ca="1">Inputs!G17</f>
        <v>0.66746416702673628</v>
      </c>
      <c r="F7" s="190" t="s">
        <v>103</v>
      </c>
      <c r="G7" s="513">
        <f ca="1">Inputs!H17</f>
        <v>4.4946233044444925</v>
      </c>
      <c r="H7" s="193" t="s">
        <v>206</v>
      </c>
      <c r="I7" s="381">
        <f ca="1">C7/E7</f>
        <v>404.5160974000043</v>
      </c>
      <c r="J7" s="516">
        <f ca="1">Inputs!E17</f>
        <v>3</v>
      </c>
      <c r="K7" s="381">
        <f t="shared" ca="1" si="0"/>
        <v>134.83869913333476</v>
      </c>
      <c r="L7" s="378">
        <f ca="1">_xll.RiskOutput("Concrete Foundation / Duration  (day)")+K7/8</f>
        <v>16.854837391666845</v>
      </c>
      <c r="M7" s="378">
        <f ca="1">_xll.RiskPercentile(L7,0.45)</f>
        <v>16.854837391666845</v>
      </c>
    </row>
    <row r="8" spans="2:35" x14ac:dyDescent="0.25">
      <c r="B8" s="182" t="s">
        <v>233</v>
      </c>
      <c r="C8" s="375">
        <f>C7*0.08</f>
        <v>21.6</v>
      </c>
      <c r="D8" s="177" t="s">
        <v>37</v>
      </c>
      <c r="E8" s="191"/>
      <c r="F8" s="191"/>
      <c r="G8" s="512"/>
      <c r="H8" s="177"/>
      <c r="I8" s="381"/>
      <c r="J8" s="516"/>
      <c r="K8" s="381"/>
      <c r="L8" s="378"/>
      <c r="M8" s="378"/>
    </row>
    <row r="9" spans="2:35" x14ac:dyDescent="0.25">
      <c r="B9" s="182" t="s">
        <v>234</v>
      </c>
      <c r="C9" s="375">
        <f>(300/3)+1</f>
        <v>101</v>
      </c>
      <c r="D9" s="177" t="s">
        <v>262</v>
      </c>
      <c r="E9" s="190">
        <f ca="1">Inputs!H23</f>
        <v>0.375</v>
      </c>
      <c r="F9" s="190" t="s">
        <v>263</v>
      </c>
      <c r="G9" s="513">
        <f ca="1">Inputs!G23</f>
        <v>8</v>
      </c>
      <c r="H9" s="193" t="s">
        <v>264</v>
      </c>
      <c r="I9" s="381">
        <f ca="1">C9/E9</f>
        <v>269.33333333333331</v>
      </c>
      <c r="J9" s="516">
        <f ca="1">Inputs!E23</f>
        <v>3</v>
      </c>
      <c r="K9" s="381">
        <f t="shared" ca="1" si="0"/>
        <v>89.777777777777771</v>
      </c>
      <c r="L9" s="378">
        <f ca="1">_xll.RiskOutput("Columns / Duration  (day)")+K9/8</f>
        <v>11.222222222222221</v>
      </c>
      <c r="M9" s="378">
        <f ca="1">_xll.RiskPercentile(L9,0.45)</f>
        <v>11.222222222222221</v>
      </c>
    </row>
    <row r="10" spans="2:35" x14ac:dyDescent="0.25">
      <c r="B10" s="182" t="s">
        <v>99</v>
      </c>
      <c r="C10" s="375">
        <f>(3-0.4)*(C9-1)*4</f>
        <v>1040</v>
      </c>
      <c r="D10" s="177" t="s">
        <v>47</v>
      </c>
      <c r="E10" s="190">
        <f ca="1">Inputs!H29</f>
        <v>3.8965152070808275</v>
      </c>
      <c r="F10" s="190" t="s">
        <v>104</v>
      </c>
      <c r="G10" s="513">
        <f>Inputs!G29</f>
        <v>1.0265582930951014</v>
      </c>
      <c r="H10" s="193" t="s">
        <v>207</v>
      </c>
      <c r="I10" s="381">
        <f ca="1">C10/E10</f>
        <v>266.90515620472638</v>
      </c>
      <c r="J10" s="516">
        <f ca="1">Inputs!E29</f>
        <v>4</v>
      </c>
      <c r="K10" s="381">
        <f t="shared" ca="1" si="0"/>
        <v>66.726289051181595</v>
      </c>
      <c r="L10" s="378">
        <f ca="1">_xll.RiskOutput("Masonry / Duration  (day)")+K10/8</f>
        <v>8.3407861313976994</v>
      </c>
      <c r="M10" s="378">
        <f ca="1">_xll.RiskPercentile(L10,0.45)</f>
        <v>8.3407861313976994</v>
      </c>
    </row>
    <row r="11" spans="2:35" ht="15.75" thickBot="1" x14ac:dyDescent="0.3">
      <c r="B11" s="183" t="s">
        <v>92</v>
      </c>
      <c r="C11" s="376">
        <f>C3-C7-C4</f>
        <v>439.5</v>
      </c>
      <c r="D11" s="179" t="s">
        <v>46</v>
      </c>
      <c r="E11" s="192">
        <f ca="1">Inputs!H35</f>
        <v>12.920958370838017</v>
      </c>
      <c r="F11" s="192" t="s">
        <v>103</v>
      </c>
      <c r="G11" s="514">
        <f ca="1">Inputs!G35</f>
        <v>0.15478727990594754</v>
      </c>
      <c r="H11" s="194" t="s">
        <v>206</v>
      </c>
      <c r="I11" s="382">
        <f ca="1">C11/E11</f>
        <v>34.01450475933197</v>
      </c>
      <c r="J11" s="517">
        <f ca="1">Inputs!E35</f>
        <v>2</v>
      </c>
      <c r="K11" s="382">
        <f t="shared" ca="1" si="0"/>
        <v>17.007252379665985</v>
      </c>
      <c r="L11" s="379">
        <f ca="1">_xll.RiskOutput("Backfill / Duration  (day)")+K11/8</f>
        <v>2.1259065474582481</v>
      </c>
      <c r="M11" s="379">
        <f ca="1">_xll.RiskPercentile(L11,0.45)</f>
        <v>2.1259065474582481</v>
      </c>
    </row>
    <row r="12" spans="2:35" ht="5.25" customHeight="1" thickBot="1" x14ac:dyDescent="0.3"/>
    <row r="13" spans="2:35" ht="24" thickBot="1" x14ac:dyDescent="0.4">
      <c r="B13" s="625" t="s">
        <v>178</v>
      </c>
      <c r="C13" s="626"/>
      <c r="D13" s="626"/>
      <c r="E13" s="626"/>
      <c r="F13" s="626"/>
      <c r="G13" s="626"/>
      <c r="H13" s="627"/>
      <c r="J13" s="625" t="s">
        <v>190</v>
      </c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7"/>
      <c r="Z13" s="326"/>
      <c r="AA13" s="625" t="s">
        <v>229</v>
      </c>
      <c r="AB13" s="626"/>
      <c r="AC13" s="626"/>
      <c r="AD13" s="626"/>
      <c r="AE13" s="626"/>
      <c r="AF13" s="626"/>
      <c r="AG13" s="626"/>
      <c r="AH13" s="626"/>
      <c r="AI13" s="627"/>
    </row>
    <row r="14" spans="2:35" ht="7.5" customHeight="1" thickBot="1" x14ac:dyDescent="0.4">
      <c r="Z14" s="326"/>
    </row>
    <row r="15" spans="2:35" ht="16.5" customHeight="1" thickBot="1" x14ac:dyDescent="0.4">
      <c r="B15" s="593" t="s">
        <v>177</v>
      </c>
      <c r="C15" s="594"/>
      <c r="D15" s="595"/>
      <c r="F15" s="593" t="s">
        <v>176</v>
      </c>
      <c r="G15" s="594"/>
      <c r="H15" s="595"/>
      <c r="J15" s="611" t="s">
        <v>90</v>
      </c>
      <c r="K15" s="612"/>
      <c r="L15" s="612"/>
      <c r="M15" s="612"/>
      <c r="N15" s="612"/>
      <c r="O15" s="612"/>
      <c r="P15" s="612"/>
      <c r="Q15" s="613"/>
      <c r="S15" s="611" t="s">
        <v>203</v>
      </c>
      <c r="T15" s="612"/>
      <c r="U15" s="612"/>
      <c r="V15" s="612"/>
      <c r="W15" s="612"/>
      <c r="X15" s="612"/>
      <c r="Y15" s="613"/>
      <c r="Z15" s="326"/>
      <c r="AA15" s="628" t="s">
        <v>90</v>
      </c>
      <c r="AB15" s="629"/>
      <c r="AC15" s="629"/>
      <c r="AD15" s="630"/>
      <c r="AF15" s="628" t="s">
        <v>99</v>
      </c>
      <c r="AG15" s="629"/>
      <c r="AH15" s="629"/>
      <c r="AI15" s="630"/>
    </row>
    <row r="16" spans="2:35" ht="19.5" customHeight="1" thickBot="1" x14ac:dyDescent="0.4">
      <c r="B16" s="237" t="s">
        <v>9</v>
      </c>
      <c r="C16" s="238" t="s">
        <v>71</v>
      </c>
      <c r="D16" s="239"/>
      <c r="F16" s="228" t="s">
        <v>78</v>
      </c>
      <c r="G16" s="229" t="s">
        <v>200</v>
      </c>
      <c r="H16" s="293">
        <f ca="1">_xll.RiskPert(H17,H18,H19,_xll.RiskStatic(4350))</f>
        <v>4350</v>
      </c>
      <c r="J16" s="314" t="s">
        <v>187</v>
      </c>
      <c r="K16" s="315" t="s">
        <v>183</v>
      </c>
      <c r="L16" s="316" t="s">
        <v>94</v>
      </c>
      <c r="M16" s="315" t="s">
        <v>186</v>
      </c>
      <c r="N16" s="316" t="s">
        <v>94</v>
      </c>
      <c r="O16" s="315" t="s">
        <v>81</v>
      </c>
      <c r="P16" s="317" t="s">
        <v>94</v>
      </c>
      <c r="Q16" s="647"/>
      <c r="S16" s="311" t="s">
        <v>187</v>
      </c>
      <c r="T16" s="273" t="s">
        <v>183</v>
      </c>
      <c r="U16" s="274" t="s">
        <v>94</v>
      </c>
      <c r="V16" s="273" t="s">
        <v>186</v>
      </c>
      <c r="W16" s="274" t="s">
        <v>94</v>
      </c>
      <c r="X16" s="273" t="s">
        <v>81</v>
      </c>
      <c r="Y16" s="275" t="s">
        <v>94</v>
      </c>
      <c r="Z16" s="326"/>
      <c r="AA16" s="350" t="s">
        <v>226</v>
      </c>
      <c r="AB16" s="350" t="s">
        <v>68</v>
      </c>
      <c r="AC16" s="350" t="s">
        <v>95</v>
      </c>
      <c r="AD16" s="270" t="s">
        <v>267</v>
      </c>
      <c r="AF16" s="350" t="s">
        <v>226</v>
      </c>
      <c r="AG16" s="350" t="s">
        <v>68</v>
      </c>
      <c r="AH16" s="355" t="s">
        <v>95</v>
      </c>
      <c r="AI16" s="270" t="s">
        <v>267</v>
      </c>
    </row>
    <row r="17" spans="2:35" ht="16.5" customHeight="1" thickBot="1" x14ac:dyDescent="0.4">
      <c r="B17" s="230" t="s">
        <v>60</v>
      </c>
      <c r="C17" s="240">
        <f>(100/C18)</f>
        <v>2.8571428571428572</v>
      </c>
      <c r="D17" s="241" t="s">
        <v>63</v>
      </c>
      <c r="F17" s="656" t="s">
        <v>79</v>
      </c>
      <c r="G17" s="258" t="s">
        <v>198</v>
      </c>
      <c r="H17" s="259">
        <v>4130</v>
      </c>
      <c r="J17" s="310"/>
      <c r="K17" s="276">
        <f ca="1">K3</f>
        <v>44.844555366320911</v>
      </c>
      <c r="L17" s="267" t="s">
        <v>208</v>
      </c>
      <c r="M17" s="319">
        <f>F40</f>
        <v>25</v>
      </c>
      <c r="N17" s="267" t="s">
        <v>209</v>
      </c>
      <c r="O17" s="292">
        <f ca="1">_xll.RiskOutput("Aushub LoKo")+K17*M17</f>
        <v>1121.1138841580228</v>
      </c>
      <c r="P17" s="271" t="s">
        <v>68</v>
      </c>
      <c r="Q17" s="649"/>
      <c r="R17" s="300"/>
      <c r="S17" s="272"/>
      <c r="T17" s="322">
        <f ca="1">K7</f>
        <v>134.83869913333476</v>
      </c>
      <c r="U17" s="272" t="s">
        <v>208</v>
      </c>
      <c r="V17" s="319">
        <f>F40</f>
        <v>25</v>
      </c>
      <c r="W17" s="272" t="s">
        <v>209</v>
      </c>
      <c r="X17" s="320">
        <f ca="1">_xll.RiskOutput("Fundament LoKo")+T17*V17</f>
        <v>3370.9674783333689</v>
      </c>
      <c r="Y17" s="272" t="s">
        <v>68</v>
      </c>
      <c r="Z17" s="326"/>
      <c r="AA17" s="367" t="s">
        <v>187</v>
      </c>
      <c r="AB17" s="356">
        <f ca="1">O17</f>
        <v>1121.1138841580228</v>
      </c>
      <c r="AC17" s="176">
        <f>$C$3</f>
        <v>769.5</v>
      </c>
      <c r="AD17" s="357">
        <f ca="1">AB17/AC17</f>
        <v>1.4569381210630574</v>
      </c>
      <c r="AF17" s="370" t="s">
        <v>187</v>
      </c>
      <c r="AG17" s="356">
        <f ca="1">X38</f>
        <v>1668.1572262795398</v>
      </c>
      <c r="AH17" s="175">
        <f>$C$10</f>
        <v>1040</v>
      </c>
      <c r="AI17" s="357">
        <f ca="1">AG17/AH17</f>
        <v>1.6039973329610959</v>
      </c>
    </row>
    <row r="18" spans="2:35" ht="15.75" customHeight="1" thickBot="1" x14ac:dyDescent="0.4">
      <c r="B18" s="230" t="s">
        <v>61</v>
      </c>
      <c r="C18" s="240">
        <v>35</v>
      </c>
      <c r="D18" s="242" t="s">
        <v>62</v>
      </c>
      <c r="F18" s="656"/>
      <c r="G18" s="258" t="s">
        <v>200</v>
      </c>
      <c r="H18" s="259">
        <v>4350</v>
      </c>
      <c r="J18" s="311" t="s">
        <v>194</v>
      </c>
      <c r="K18" s="273" t="s">
        <v>261</v>
      </c>
      <c r="L18" s="274" t="s">
        <v>94</v>
      </c>
      <c r="M18" s="273" t="s">
        <v>214</v>
      </c>
      <c r="N18" s="274" t="s">
        <v>94</v>
      </c>
      <c r="O18" s="273" t="s">
        <v>84</v>
      </c>
      <c r="P18" s="275" t="s">
        <v>94</v>
      </c>
      <c r="Q18" s="273" t="s">
        <v>81</v>
      </c>
      <c r="R18" s="301"/>
      <c r="S18" s="314" t="s">
        <v>194</v>
      </c>
      <c r="T18" s="315" t="s">
        <v>95</v>
      </c>
      <c r="U18" s="316" t="s">
        <v>94</v>
      </c>
      <c r="V18" s="315" t="s">
        <v>258</v>
      </c>
      <c r="W18" s="273" t="s">
        <v>94</v>
      </c>
      <c r="X18" s="273" t="s">
        <v>81</v>
      </c>
      <c r="Y18" s="275" t="s">
        <v>94</v>
      </c>
      <c r="Z18" s="326"/>
      <c r="AA18" s="368" t="s">
        <v>194</v>
      </c>
      <c r="AB18" s="358">
        <f ca="1">P24</f>
        <v>266.37665887594619</v>
      </c>
      <c r="AC18" s="178">
        <f>$C$3</f>
        <v>769.5</v>
      </c>
      <c r="AD18" s="359">
        <f ca="1">AB18/AC18</f>
        <v>0.34616849756458246</v>
      </c>
      <c r="AF18" s="371" t="s">
        <v>194</v>
      </c>
      <c r="AG18" s="358">
        <f ca="1">Y49</f>
        <v>25480</v>
      </c>
      <c r="AH18" s="177">
        <f>$C$10</f>
        <v>1040</v>
      </c>
      <c r="AI18" s="359">
        <f ca="1">AG18/AH18</f>
        <v>24.5</v>
      </c>
    </row>
    <row r="19" spans="2:35" ht="15" customHeight="1" thickBot="1" x14ac:dyDescent="0.4">
      <c r="B19" s="230" t="s">
        <v>64</v>
      </c>
      <c r="C19" s="243">
        <v>4</v>
      </c>
      <c r="D19" s="242"/>
      <c r="F19" s="656"/>
      <c r="G19" s="260" t="s">
        <v>202</v>
      </c>
      <c r="H19" s="259">
        <v>4570</v>
      </c>
      <c r="J19" s="659"/>
      <c r="K19" s="290">
        <f ca="1">_xll.RiskPert(K20,K21,K22,_xll.RiskStatic(0.12),_xll.RiskName("maximum / materials"))</f>
        <v>0.12</v>
      </c>
      <c r="L19" s="267" t="s">
        <v>82</v>
      </c>
      <c r="M19" s="272">
        <v>60</v>
      </c>
      <c r="N19" s="267" t="s">
        <v>83</v>
      </c>
      <c r="O19" s="290">
        <f ca="1">_xll.RiskPert(O20,O21,O22,_xll.RiskStatic(1.1))</f>
        <v>1.1000000000000001</v>
      </c>
      <c r="P19" s="271" t="s">
        <v>235</v>
      </c>
      <c r="Q19" s="318">
        <f ca="1">K19*M19*O19</f>
        <v>7.92</v>
      </c>
      <c r="R19" s="266"/>
      <c r="S19" s="328" t="s">
        <v>254</v>
      </c>
      <c r="T19" s="233">
        <f>C6</f>
        <v>391.95</v>
      </c>
      <c r="U19" s="233" t="s">
        <v>46</v>
      </c>
      <c r="V19" s="330">
        <f ca="1">_xll.RiskPert(V20,V21,V22,_xll.RiskStatic(8))</f>
        <v>8</v>
      </c>
      <c r="W19" s="272" t="s">
        <v>209</v>
      </c>
      <c r="X19" s="320">
        <f ca="1">T19*V19</f>
        <v>3135.6</v>
      </c>
      <c r="Y19" s="272" t="s">
        <v>68</v>
      </c>
      <c r="Z19" s="326"/>
      <c r="AA19" s="368" t="s">
        <v>210</v>
      </c>
      <c r="AB19" s="358">
        <f ca="1">Q29</f>
        <v>1654.4844311588386</v>
      </c>
      <c r="AC19" s="178">
        <f>$C$3</f>
        <v>769.5</v>
      </c>
      <c r="AD19" s="359">
        <f ca="1">AB19/AC19</f>
        <v>2.1500772334747738</v>
      </c>
      <c r="AF19" s="371" t="s">
        <v>210</v>
      </c>
      <c r="AG19" s="358"/>
      <c r="AH19" s="177"/>
      <c r="AI19" s="359"/>
    </row>
    <row r="20" spans="2:35" ht="15.75" customHeight="1" thickBot="1" x14ac:dyDescent="0.4">
      <c r="B20" s="230" t="s">
        <v>65</v>
      </c>
      <c r="C20" s="243">
        <v>6.5</v>
      </c>
      <c r="D20" s="242" t="s">
        <v>63</v>
      </c>
      <c r="F20" s="230"/>
      <c r="G20" s="232" t="s">
        <v>73</v>
      </c>
      <c r="H20" s="231">
        <f ca="1">(H16)/(20)</f>
        <v>217.5</v>
      </c>
      <c r="J20" s="660"/>
      <c r="K20" s="277">
        <v>0.1</v>
      </c>
      <c r="L20" s="280" t="s">
        <v>198</v>
      </c>
      <c r="M20" s="599"/>
      <c r="N20" s="601"/>
      <c r="O20" s="283">
        <v>1</v>
      </c>
      <c r="P20" s="280" t="s">
        <v>198</v>
      </c>
      <c r="Q20" s="647"/>
      <c r="R20" s="266"/>
      <c r="S20" s="599"/>
      <c r="T20" s="600"/>
      <c r="U20" s="601"/>
      <c r="V20" s="283">
        <v>7</v>
      </c>
      <c r="W20" s="280" t="s">
        <v>198</v>
      </c>
      <c r="X20" s="619"/>
      <c r="Y20" s="620"/>
      <c r="Z20" s="326"/>
      <c r="AA20" s="369" t="s">
        <v>211</v>
      </c>
      <c r="AB20" s="360"/>
      <c r="AC20" s="180"/>
      <c r="AD20" s="179"/>
      <c r="AF20" s="372" t="s">
        <v>211</v>
      </c>
      <c r="AG20" s="360"/>
      <c r="AH20" s="179"/>
      <c r="AI20" s="179"/>
    </row>
    <row r="21" spans="2:35" ht="15.75" customHeight="1" thickBot="1" x14ac:dyDescent="0.4">
      <c r="B21" s="214" t="s">
        <v>61</v>
      </c>
      <c r="C21" s="216">
        <f>0.5*(C20/100)*(C19/C18)*100</f>
        <v>0.37142857142857144</v>
      </c>
      <c r="D21" s="217" t="s">
        <v>63</v>
      </c>
      <c r="F21" s="233" t="s">
        <v>74</v>
      </c>
      <c r="G21" s="234">
        <v>2830</v>
      </c>
      <c r="H21" s="235" t="s">
        <v>236</v>
      </c>
      <c r="J21" s="660"/>
      <c r="K21" s="278">
        <v>0.12</v>
      </c>
      <c r="L21" s="281" t="s">
        <v>200</v>
      </c>
      <c r="M21" s="602"/>
      <c r="N21" s="604"/>
      <c r="O21" s="284">
        <v>1.1000000000000001</v>
      </c>
      <c r="P21" s="281" t="s">
        <v>200</v>
      </c>
      <c r="Q21" s="648"/>
      <c r="R21" s="266"/>
      <c r="S21" s="602"/>
      <c r="T21" s="603"/>
      <c r="U21" s="604"/>
      <c r="V21" s="284">
        <v>8</v>
      </c>
      <c r="W21" s="281" t="s">
        <v>200</v>
      </c>
      <c r="X21" s="621"/>
      <c r="Y21" s="622"/>
      <c r="Z21" s="326"/>
      <c r="AA21" s="351" t="s">
        <v>81</v>
      </c>
      <c r="AB21" s="354">
        <f ca="1">SUM(AB17:AB20)</f>
        <v>3041.9749741928076</v>
      </c>
      <c r="AC21" s="353"/>
      <c r="AD21" s="352">
        <f ca="1">SUM(AD17:AD20)</f>
        <v>3.9531838521024136</v>
      </c>
      <c r="AF21" s="351" t="s">
        <v>81</v>
      </c>
      <c r="AG21" s="354">
        <f ca="1">SUM(AG17:AG20)</f>
        <v>27148.157226279538</v>
      </c>
      <c r="AH21" s="353"/>
      <c r="AI21" s="352">
        <f ca="1">SUM(AI17:AI20)</f>
        <v>26.103997332961097</v>
      </c>
    </row>
    <row r="22" spans="2:35" ht="15.75" customHeight="1" thickBot="1" x14ac:dyDescent="0.4">
      <c r="B22" s="214" t="s">
        <v>72</v>
      </c>
      <c r="C22" s="216">
        <f>C21+C17</f>
        <v>3.2285714285714286</v>
      </c>
      <c r="D22" s="217" t="s">
        <v>63</v>
      </c>
      <c r="F22" s="233" t="s">
        <v>188</v>
      </c>
      <c r="G22" s="234">
        <f>G21*0.6</f>
        <v>1698</v>
      </c>
      <c r="H22" s="235" t="s">
        <v>236</v>
      </c>
      <c r="J22" s="660"/>
      <c r="K22" s="279">
        <v>0.15</v>
      </c>
      <c r="L22" s="282" t="s">
        <v>202</v>
      </c>
      <c r="M22" s="605"/>
      <c r="N22" s="607"/>
      <c r="O22" s="285">
        <v>1.3</v>
      </c>
      <c r="P22" s="282" t="s">
        <v>202</v>
      </c>
      <c r="Q22" s="649"/>
      <c r="R22" s="266"/>
      <c r="S22" s="605"/>
      <c r="T22" s="606"/>
      <c r="U22" s="607"/>
      <c r="V22" s="285">
        <v>10</v>
      </c>
      <c r="W22" s="282" t="s">
        <v>202</v>
      </c>
      <c r="X22" s="623"/>
      <c r="Y22" s="624"/>
      <c r="Z22" s="326"/>
      <c r="AA22" s="635" t="s">
        <v>125</v>
      </c>
      <c r="AB22" s="636"/>
      <c r="AC22" s="631">
        <f ca="1">_xll.RiskTarget(Q30,AB21)</f>
        <v>1</v>
      </c>
      <c r="AD22" s="632"/>
      <c r="AF22" s="635" t="s">
        <v>125</v>
      </c>
      <c r="AG22" s="636"/>
      <c r="AH22" s="631">
        <f ca="1">_xll.RiskTarget(Y50,AG21)</f>
        <v>1</v>
      </c>
      <c r="AI22" s="632"/>
    </row>
    <row r="23" spans="2:35" ht="15.75" customHeight="1" thickBot="1" x14ac:dyDescent="0.4">
      <c r="B23" s="230" t="s">
        <v>67</v>
      </c>
      <c r="C23" s="236">
        <v>77700</v>
      </c>
      <c r="D23" s="271" t="s">
        <v>68</v>
      </c>
      <c r="F23" s="228" t="s">
        <v>189</v>
      </c>
      <c r="G23" s="265">
        <f ca="1">(H24/100)*G22</f>
        <v>1748.94</v>
      </c>
      <c r="H23" s="239" t="s">
        <v>236</v>
      </c>
      <c r="J23" s="660"/>
      <c r="K23" s="273" t="s">
        <v>81</v>
      </c>
      <c r="L23" s="275" t="s">
        <v>94</v>
      </c>
      <c r="M23" s="273" t="s">
        <v>313</v>
      </c>
      <c r="N23" s="275" t="s">
        <v>222</v>
      </c>
      <c r="O23" s="273" t="s">
        <v>185</v>
      </c>
      <c r="P23" s="273" t="s">
        <v>81</v>
      </c>
      <c r="Q23" s="275" t="s">
        <v>94</v>
      </c>
      <c r="R23" s="266"/>
      <c r="S23" s="315" t="s">
        <v>81</v>
      </c>
      <c r="T23" s="317" t="s">
        <v>95</v>
      </c>
      <c r="U23" s="315" t="s">
        <v>94</v>
      </c>
      <c r="V23" s="315" t="s">
        <v>271</v>
      </c>
      <c r="W23" s="273" t="s">
        <v>94</v>
      </c>
      <c r="X23" s="273" t="s">
        <v>81</v>
      </c>
      <c r="Y23" s="275" t="s">
        <v>94</v>
      </c>
      <c r="Z23" s="326"/>
      <c r="AA23" s="635" t="s">
        <v>201</v>
      </c>
      <c r="AB23" s="636"/>
      <c r="AC23" s="633">
        <f ca="1">_xll.RiskPercentile(Q30,0.45)</f>
        <v>3041.9749741928076</v>
      </c>
      <c r="AD23" s="634"/>
      <c r="AF23" s="635" t="s">
        <v>201</v>
      </c>
      <c r="AG23" s="636"/>
      <c r="AH23" s="633">
        <f ca="1">_xll.RiskPercentile(Y50,0.45)</f>
        <v>27148.157226279538</v>
      </c>
      <c r="AI23" s="634"/>
    </row>
    <row r="24" spans="2:35" ht="15.75" customHeight="1" thickBot="1" x14ac:dyDescent="0.4">
      <c r="B24" s="214" t="s">
        <v>66</v>
      </c>
      <c r="C24" s="294">
        <f>(C22/100)*C23</f>
        <v>2508.6</v>
      </c>
      <c r="D24" s="271" t="s">
        <v>68</v>
      </c>
      <c r="F24" s="264" t="s">
        <v>80</v>
      </c>
      <c r="G24" s="268" t="s">
        <v>200</v>
      </c>
      <c r="H24" s="269">
        <f ca="1">_xll.RiskPert(H25,H26,H27,_xll.RiskStatic(103))</f>
        <v>103</v>
      </c>
      <c r="J24" s="660"/>
      <c r="K24" s="276">
        <f ca="1">Q19</f>
        <v>7.92</v>
      </c>
      <c r="L24" s="271" t="s">
        <v>68</v>
      </c>
      <c r="M24" s="276">
        <v>8</v>
      </c>
      <c r="N24" s="305">
        <f ca="1">_xll.RiskPert(N25,N26,N27,_xll.RiskStatic(0.75))</f>
        <v>0.75</v>
      </c>
      <c r="O24" s="276">
        <f ca="1">L3</f>
        <v>5.6055694207901139</v>
      </c>
      <c r="P24" s="292">
        <f ca="1">_xll.RiskOutput("Aushub Costs. Inv.")+K24*M24*N24*O24</f>
        <v>266.37665887594619</v>
      </c>
      <c r="Q24" s="271" t="s">
        <v>68</v>
      </c>
      <c r="R24" s="266"/>
      <c r="S24" s="325" t="s">
        <v>255</v>
      </c>
      <c r="T24" s="324">
        <f>C8</f>
        <v>21.6</v>
      </c>
      <c r="U24" s="324" t="s">
        <v>37</v>
      </c>
      <c r="V24" s="329">
        <f ca="1">_xll.RiskPert(V25,V26,V27,_xll.RiskStatic(800))</f>
        <v>800</v>
      </c>
      <c r="W24" s="272" t="s">
        <v>237</v>
      </c>
      <c r="X24" s="320">
        <f ca="1">T24*V24</f>
        <v>17280</v>
      </c>
      <c r="Y24" s="272" t="s">
        <v>227</v>
      </c>
      <c r="Z24" s="326"/>
    </row>
    <row r="25" spans="2:35" ht="15.75" customHeight="1" thickBot="1" x14ac:dyDescent="0.4">
      <c r="B25" s="230" t="s">
        <v>179</v>
      </c>
      <c r="C25" s="244">
        <f>C24/20</f>
        <v>125.42999999999999</v>
      </c>
      <c r="D25" s="242" t="s">
        <v>238</v>
      </c>
      <c r="F25" s="657" t="s">
        <v>80</v>
      </c>
      <c r="G25" s="262" t="s">
        <v>198</v>
      </c>
      <c r="H25" s="263">
        <v>101</v>
      </c>
      <c r="J25" s="660"/>
      <c r="K25" s="306"/>
      <c r="L25" s="306"/>
      <c r="M25" s="307"/>
      <c r="N25" s="302">
        <v>0.65</v>
      </c>
      <c r="O25" s="280" t="s">
        <v>198</v>
      </c>
      <c r="P25" s="650"/>
      <c r="Q25" s="651"/>
      <c r="R25" s="266"/>
      <c r="S25" s="599"/>
      <c r="T25" s="600"/>
      <c r="U25" s="601"/>
      <c r="V25" s="283">
        <v>750</v>
      </c>
      <c r="W25" s="280" t="s">
        <v>198</v>
      </c>
      <c r="X25" s="619"/>
      <c r="Y25" s="620"/>
      <c r="Z25" s="326"/>
      <c r="AA25" s="628" t="s">
        <v>268</v>
      </c>
      <c r="AB25" s="629"/>
      <c r="AC25" s="629"/>
      <c r="AD25" s="630"/>
      <c r="AF25" s="628" t="s">
        <v>92</v>
      </c>
      <c r="AG25" s="629"/>
      <c r="AH25" s="629"/>
      <c r="AI25" s="630"/>
    </row>
    <row r="26" spans="2:35" ht="15.75" customHeight="1" thickBot="1" x14ac:dyDescent="0.4">
      <c r="B26" s="245" t="s">
        <v>180</v>
      </c>
      <c r="C26" s="246">
        <f>C25/8</f>
        <v>15.678749999999999</v>
      </c>
      <c r="D26" s="247" t="s">
        <v>239</v>
      </c>
      <c r="F26" s="657"/>
      <c r="G26" s="258" t="s">
        <v>200</v>
      </c>
      <c r="H26" s="261">
        <v>103</v>
      </c>
      <c r="J26" s="660"/>
      <c r="K26" s="306"/>
      <c r="L26" s="306"/>
      <c r="M26" s="307"/>
      <c r="N26" s="303">
        <v>0.75</v>
      </c>
      <c r="O26" s="281" t="s">
        <v>200</v>
      </c>
      <c r="P26" s="652"/>
      <c r="Q26" s="653"/>
      <c r="R26" s="266"/>
      <c r="S26" s="602"/>
      <c r="T26" s="603"/>
      <c r="U26" s="604"/>
      <c r="V26" s="284">
        <v>800</v>
      </c>
      <c r="W26" s="281" t="s">
        <v>200</v>
      </c>
      <c r="X26" s="621"/>
      <c r="Y26" s="622"/>
      <c r="Z26" s="326"/>
      <c r="AA26" s="350" t="s">
        <v>226</v>
      </c>
      <c r="AB26" s="350" t="s">
        <v>68</v>
      </c>
      <c r="AC26" s="355" t="s">
        <v>95</v>
      </c>
      <c r="AD26" s="270" t="s">
        <v>267</v>
      </c>
      <c r="AF26" s="350" t="s">
        <v>226</v>
      </c>
      <c r="AG26" s="350" t="s">
        <v>68</v>
      </c>
      <c r="AH26" s="355" t="s">
        <v>95</v>
      </c>
      <c r="AI26" s="270" t="s">
        <v>267</v>
      </c>
    </row>
    <row r="27" spans="2:35" ht="16.5" customHeight="1" thickBot="1" x14ac:dyDescent="0.4">
      <c r="B27" s="184" t="s">
        <v>69</v>
      </c>
      <c r="C27" s="254">
        <f ca="1">(D28/100)*(0.4+(0.6*(1+(C32/100))))*100</f>
        <v>4.3686000000000016</v>
      </c>
      <c r="D27" s="224" t="s">
        <v>63</v>
      </c>
      <c r="F27" s="658"/>
      <c r="G27" s="260" t="s">
        <v>202</v>
      </c>
      <c r="H27" s="261">
        <v>109</v>
      </c>
      <c r="J27" s="661"/>
      <c r="K27" s="308"/>
      <c r="L27" s="308"/>
      <c r="M27" s="309"/>
      <c r="N27" s="304">
        <v>0.85</v>
      </c>
      <c r="O27" s="282" t="s">
        <v>202</v>
      </c>
      <c r="P27" s="654"/>
      <c r="Q27" s="655"/>
      <c r="S27" s="605"/>
      <c r="T27" s="606"/>
      <c r="U27" s="607"/>
      <c r="V27" s="285">
        <v>1100</v>
      </c>
      <c r="W27" s="282" t="s">
        <v>202</v>
      </c>
      <c r="X27" s="623"/>
      <c r="Y27" s="624"/>
      <c r="Z27" s="326"/>
      <c r="AA27" s="367" t="s">
        <v>187</v>
      </c>
      <c r="AB27" s="361">
        <f ca="1">O34</f>
        <v>466.51267484202856</v>
      </c>
      <c r="AC27" s="175">
        <f>$C$5</f>
        <v>600</v>
      </c>
      <c r="AD27" s="362">
        <f ca="1">AB27/AC27</f>
        <v>0.77752112473671431</v>
      </c>
      <c r="AF27" s="370" t="s">
        <v>187</v>
      </c>
      <c r="AG27" s="356">
        <f ca="1">X54</f>
        <v>425.18130949164964</v>
      </c>
      <c r="AH27" s="175">
        <f>C11</f>
        <v>439.5</v>
      </c>
      <c r="AI27" s="357">
        <f ca="1">AG27/AH27</f>
        <v>0.96742049941217212</v>
      </c>
    </row>
    <row r="28" spans="2:35" ht="19.5" customHeight="1" thickBot="1" x14ac:dyDescent="0.4">
      <c r="B28" s="248" t="s">
        <v>77</v>
      </c>
      <c r="C28" s="213"/>
      <c r="D28" s="255">
        <f ca="1">_xll.RiskPert(D29,D30,D31,_xll.RiskStatic(2.7))</f>
        <v>2.7</v>
      </c>
      <c r="F28" s="214" t="s">
        <v>196</v>
      </c>
      <c r="G28" s="294">
        <f ca="1">G21+G23</f>
        <v>4578.9400000000005</v>
      </c>
      <c r="H28" s="217" t="s">
        <v>236</v>
      </c>
      <c r="J28" s="311" t="s">
        <v>210</v>
      </c>
      <c r="K28" s="273" t="s">
        <v>66</v>
      </c>
      <c r="L28" s="274" t="s">
        <v>94</v>
      </c>
      <c r="M28" s="273" t="s">
        <v>192</v>
      </c>
      <c r="N28" s="274" t="s">
        <v>94</v>
      </c>
      <c r="O28" s="273" t="s">
        <v>185</v>
      </c>
      <c r="P28" s="275" t="s">
        <v>94</v>
      </c>
      <c r="Q28" s="312" t="s">
        <v>81</v>
      </c>
      <c r="S28" s="315" t="s">
        <v>81</v>
      </c>
      <c r="T28" s="317" t="s">
        <v>95</v>
      </c>
      <c r="U28" s="315" t="s">
        <v>94</v>
      </c>
      <c r="V28" s="315" t="s">
        <v>257</v>
      </c>
      <c r="W28" s="273" t="s">
        <v>94</v>
      </c>
      <c r="X28" s="273" t="s">
        <v>81</v>
      </c>
      <c r="Y28" s="275" t="s">
        <v>94</v>
      </c>
      <c r="Z28" s="326"/>
      <c r="AA28" s="368" t="s">
        <v>194</v>
      </c>
      <c r="AB28" s="363">
        <f ca="1">O36</f>
        <v>4020</v>
      </c>
      <c r="AC28" s="177">
        <f>$C$5</f>
        <v>600</v>
      </c>
      <c r="AD28" s="364">
        <f ca="1">AB28/AC28</f>
        <v>6.7</v>
      </c>
      <c r="AF28" s="371" t="s">
        <v>194</v>
      </c>
      <c r="AG28" s="358"/>
      <c r="AH28" s="177"/>
      <c r="AI28" s="359"/>
    </row>
    <row r="29" spans="2:35" ht="16.5" customHeight="1" thickBot="1" x14ac:dyDescent="0.4">
      <c r="B29" s="248"/>
      <c r="C29" s="384" t="s">
        <v>199</v>
      </c>
      <c r="D29" s="385">
        <v>2.2999999999999998</v>
      </c>
      <c r="F29" s="225" t="s">
        <v>73</v>
      </c>
      <c r="G29" s="227">
        <f ca="1">G28/20</f>
        <v>228.94700000000003</v>
      </c>
      <c r="H29" s="224" t="s">
        <v>238</v>
      </c>
      <c r="J29" s="272"/>
      <c r="K29" s="272">
        <f>C25</f>
        <v>125.42999999999999</v>
      </c>
      <c r="L29" s="272" t="s">
        <v>238</v>
      </c>
      <c r="M29" s="272">
        <f ca="1">C34</f>
        <v>169.72011000000006</v>
      </c>
      <c r="N29" s="272" t="s">
        <v>240</v>
      </c>
      <c r="O29" s="313">
        <f ca="1">L3</f>
        <v>5.6055694207901139</v>
      </c>
      <c r="P29" s="272" t="s">
        <v>86</v>
      </c>
      <c r="Q29" s="318">
        <f ca="1">_xll.RiskOutput("Aushub GeKo")+(K29+M29)*O29</f>
        <v>1654.4844311588386</v>
      </c>
      <c r="S29" s="327" t="s">
        <v>256</v>
      </c>
      <c r="T29" s="323">
        <f>C7</f>
        <v>270</v>
      </c>
      <c r="U29" s="323" t="s">
        <v>46</v>
      </c>
      <c r="V29" s="331">
        <f ca="1">_xll.RiskPert(V30,V31,V32,_xll.RiskStatic(100))</f>
        <v>100</v>
      </c>
      <c r="W29" s="272" t="s">
        <v>241</v>
      </c>
      <c r="X29" s="320">
        <f ca="1">T29*V29</f>
        <v>27000</v>
      </c>
      <c r="Y29" s="272" t="s">
        <v>227</v>
      </c>
      <c r="Z29" s="326"/>
      <c r="AA29" s="368" t="s">
        <v>210</v>
      </c>
      <c r="AB29" s="363"/>
      <c r="AC29" s="177"/>
      <c r="AD29" s="364"/>
      <c r="AF29" s="371" t="s">
        <v>210</v>
      </c>
      <c r="AG29" s="358"/>
      <c r="AH29" s="177"/>
      <c r="AI29" s="359"/>
    </row>
    <row r="30" spans="2:35" ht="19.5" thickBot="1" x14ac:dyDescent="0.35">
      <c r="B30" s="248"/>
      <c r="C30" s="384" t="s">
        <v>200</v>
      </c>
      <c r="D30" s="385">
        <v>2.7</v>
      </c>
      <c r="F30" s="214" t="s">
        <v>76</v>
      </c>
      <c r="G30" s="294">
        <f ca="1">_xll.RiskOutput("Kran Geko A+V+Rep")+H16+G28</f>
        <v>8928.94</v>
      </c>
      <c r="H30" s="215" t="s">
        <v>236</v>
      </c>
      <c r="J30" s="608" t="s">
        <v>193</v>
      </c>
      <c r="K30" s="609"/>
      <c r="L30" s="609"/>
      <c r="M30" s="609"/>
      <c r="N30" s="609"/>
      <c r="O30" s="609"/>
      <c r="P30" s="610"/>
      <c r="Q30" s="321">
        <f ca="1">_xll.RiskOutput("EKT Total Aushub / Total")+O17+P24+Q29</f>
        <v>3041.9749741928076</v>
      </c>
      <c r="S30" s="599"/>
      <c r="T30" s="600"/>
      <c r="U30" s="601"/>
      <c r="V30" s="283">
        <v>90</v>
      </c>
      <c r="W30" s="280" t="s">
        <v>198</v>
      </c>
      <c r="X30" s="619"/>
      <c r="Y30" s="620"/>
      <c r="AA30" s="369" t="s">
        <v>211</v>
      </c>
      <c r="AB30" s="365"/>
      <c r="AC30" s="179"/>
      <c r="AD30" s="366"/>
      <c r="AF30" s="372" t="s">
        <v>211</v>
      </c>
      <c r="AG30" s="360"/>
      <c r="AH30" s="179"/>
      <c r="AI30" s="179"/>
    </row>
    <row r="31" spans="2:35" ht="16.5" thickBot="1" x14ac:dyDescent="0.3">
      <c r="B31" s="248"/>
      <c r="C31" s="384" t="s">
        <v>202</v>
      </c>
      <c r="D31" s="385">
        <v>4.5</v>
      </c>
      <c r="F31" s="214" t="s">
        <v>73</v>
      </c>
      <c r="G31" s="226">
        <f ca="1">G30/20</f>
        <v>446.447</v>
      </c>
      <c r="H31" s="217" t="s">
        <v>238</v>
      </c>
      <c r="S31" s="602"/>
      <c r="T31" s="603"/>
      <c r="U31" s="604"/>
      <c r="V31" s="284">
        <v>100</v>
      </c>
      <c r="W31" s="281" t="s">
        <v>200</v>
      </c>
      <c r="X31" s="621"/>
      <c r="Y31" s="622"/>
      <c r="AA31" s="351" t="s">
        <v>81</v>
      </c>
      <c r="AB31" s="354">
        <f ca="1">SUM(AB27:AB30)</f>
        <v>4486.5126748420289</v>
      </c>
      <c r="AC31" s="353"/>
      <c r="AD31" s="352">
        <f ca="1">SUM(AD27:AD30)</f>
        <v>7.4775211247367146</v>
      </c>
      <c r="AF31" s="351" t="s">
        <v>81</v>
      </c>
      <c r="AG31" s="354">
        <f ca="1">SUM(AG27:AG30)</f>
        <v>425.18130949164964</v>
      </c>
      <c r="AH31" s="353"/>
      <c r="AI31" s="352">
        <f ca="1">SUM(AI27:AI30)</f>
        <v>0.96742049941217212</v>
      </c>
    </row>
    <row r="32" spans="2:35" ht="16.5" thickBot="1" x14ac:dyDescent="0.3">
      <c r="B32" s="248" t="s">
        <v>70</v>
      </c>
      <c r="C32" s="256">
        <f ca="1">H24</f>
        <v>103</v>
      </c>
      <c r="D32" s="247" t="s">
        <v>63</v>
      </c>
      <c r="J32" s="611" t="s">
        <v>98</v>
      </c>
      <c r="K32" s="612"/>
      <c r="L32" s="612"/>
      <c r="M32" s="612"/>
      <c r="N32" s="612"/>
      <c r="O32" s="612"/>
      <c r="P32" s="612"/>
      <c r="Q32" s="613"/>
      <c r="S32" s="605"/>
      <c r="T32" s="606"/>
      <c r="U32" s="607"/>
      <c r="V32" s="285">
        <v>115</v>
      </c>
      <c r="W32" s="282" t="s">
        <v>202</v>
      </c>
      <c r="X32" s="623"/>
      <c r="Y32" s="624"/>
      <c r="AA32" s="635" t="s">
        <v>125</v>
      </c>
      <c r="AB32" s="636"/>
      <c r="AC32" s="631">
        <f ca="1">_xll.RiskTarget(Q40,AB31)</f>
        <v>1</v>
      </c>
      <c r="AD32" s="632"/>
      <c r="AF32" s="635" t="s">
        <v>125</v>
      </c>
      <c r="AG32" s="636"/>
      <c r="AH32" s="631">
        <f ca="1">_xll.RiskTarget(X54,AG31)</f>
        <v>1</v>
      </c>
      <c r="AI32" s="632"/>
    </row>
    <row r="33" spans="2:35" ht="19.5" thickBot="1" x14ac:dyDescent="0.35">
      <c r="B33" s="184" t="s">
        <v>16</v>
      </c>
      <c r="C33" s="296">
        <f ca="1">(C27/100)*C23</f>
        <v>3394.4022000000014</v>
      </c>
      <c r="D33" s="217" t="s">
        <v>236</v>
      </c>
      <c r="F33" s="662" t="s">
        <v>75</v>
      </c>
      <c r="G33" s="663"/>
      <c r="H33" s="664"/>
      <c r="J33" s="311" t="s">
        <v>187</v>
      </c>
      <c r="K33" s="273" t="s">
        <v>183</v>
      </c>
      <c r="L33" s="274" t="s">
        <v>94</v>
      </c>
      <c r="M33" s="273" t="s">
        <v>186</v>
      </c>
      <c r="N33" s="274" t="s">
        <v>94</v>
      </c>
      <c r="O33" s="273" t="s">
        <v>81</v>
      </c>
      <c r="P33" s="275" t="s">
        <v>94</v>
      </c>
      <c r="Q33" s="617"/>
      <c r="S33" s="614" t="s">
        <v>195</v>
      </c>
      <c r="T33" s="615"/>
      <c r="U33" s="615"/>
      <c r="V33" s="615"/>
      <c r="W33" s="615"/>
      <c r="X33" s="616"/>
      <c r="Y33" s="318">
        <f ca="1">_xll.RiskOutput("Fundament Total Costs. Inv.")+X19+X24+X29</f>
        <v>47415.6</v>
      </c>
      <c r="AA33" s="635" t="s">
        <v>201</v>
      </c>
      <c r="AB33" s="636"/>
      <c r="AC33" s="633">
        <f ca="1">_xll.RiskPercentile(Q40,0.45)</f>
        <v>4486.5126748420289</v>
      </c>
      <c r="AD33" s="634"/>
      <c r="AF33" s="635" t="s">
        <v>201</v>
      </c>
      <c r="AG33" s="636"/>
      <c r="AH33" s="633">
        <f ca="1">_xll.RiskPercentile(X54,0.45)</f>
        <v>425.18130949164964</v>
      </c>
      <c r="AI33" s="634"/>
    </row>
    <row r="34" spans="2:35" ht="19.5" thickBot="1" x14ac:dyDescent="0.35">
      <c r="B34" s="218" t="s">
        <v>181</v>
      </c>
      <c r="C34" s="219">
        <f ca="1">C33/20</f>
        <v>169.72011000000006</v>
      </c>
      <c r="D34" s="220" t="s">
        <v>238</v>
      </c>
      <c r="F34" s="249" t="s">
        <v>185</v>
      </c>
      <c r="G34" s="249" t="s">
        <v>242</v>
      </c>
      <c r="H34" s="249" t="s">
        <v>246</v>
      </c>
      <c r="J34" s="272"/>
      <c r="K34" s="272">
        <f ca="1">K5</f>
        <v>18.660506993681143</v>
      </c>
      <c r="L34" s="272" t="s">
        <v>208</v>
      </c>
      <c r="M34" s="272">
        <f>F40</f>
        <v>25</v>
      </c>
      <c r="N34" s="272" t="s">
        <v>209</v>
      </c>
      <c r="O34" s="292">
        <f ca="1">_xll.RiskOutput("Sauberkeitsschicht LoKo")+K34*M34</f>
        <v>466.51267484202856</v>
      </c>
      <c r="P34" s="271" t="s">
        <v>68</v>
      </c>
      <c r="Q34" s="618"/>
      <c r="S34" s="608" t="s">
        <v>225</v>
      </c>
      <c r="T34" s="609"/>
      <c r="U34" s="609"/>
      <c r="V34" s="609"/>
      <c r="W34" s="609"/>
      <c r="X34" s="610"/>
      <c r="Y34" s="321">
        <f ca="1">_xll.RiskOutput("EKT Total Stb-Fundament")+X17+Y33</f>
        <v>50786.567478333367</v>
      </c>
    </row>
    <row r="35" spans="2:35" ht="19.5" thickBot="1" x14ac:dyDescent="0.35">
      <c r="B35" s="222" t="s">
        <v>182</v>
      </c>
      <c r="C35" s="223">
        <f ca="1">C34/8</f>
        <v>21.215013750000008</v>
      </c>
      <c r="D35" s="221" t="s">
        <v>239</v>
      </c>
      <c r="F35" s="245">
        <v>27</v>
      </c>
      <c r="G35" s="252">
        <f ca="1">G31</f>
        <v>446.447</v>
      </c>
      <c r="H35" s="250">
        <f ca="1">F35*G35</f>
        <v>12054.069</v>
      </c>
      <c r="J35" s="314" t="s">
        <v>194</v>
      </c>
      <c r="K35" s="315" t="s">
        <v>95</v>
      </c>
      <c r="L35" s="316" t="s">
        <v>94</v>
      </c>
      <c r="M35" s="315" t="s">
        <v>186</v>
      </c>
      <c r="N35" s="316" t="s">
        <v>94</v>
      </c>
      <c r="O35" s="315" t="s">
        <v>81</v>
      </c>
      <c r="P35" s="317" t="s">
        <v>94</v>
      </c>
      <c r="Q35" s="618"/>
      <c r="AA35" s="628" t="s">
        <v>203</v>
      </c>
      <c r="AB35" s="629"/>
      <c r="AC35" s="629"/>
      <c r="AD35" s="630"/>
      <c r="AF35" s="628" t="s">
        <v>224</v>
      </c>
      <c r="AG35" s="629"/>
      <c r="AH35" s="629"/>
      <c r="AI35" s="630"/>
    </row>
    <row r="36" spans="2:35" ht="16.5" thickBot="1" x14ac:dyDescent="0.3">
      <c r="B36" s="185" t="s">
        <v>76</v>
      </c>
      <c r="C36" s="295">
        <f ca="1">_xll.RiskOutput("Bagger GeKo A+V+ Rep")+C24+C33</f>
        <v>5903.0022000000008</v>
      </c>
      <c r="D36" s="220" t="s">
        <v>236</v>
      </c>
      <c r="F36" s="251"/>
      <c r="G36" s="253" t="s">
        <v>265</v>
      </c>
      <c r="H36" s="297">
        <f ca="1">_xll.RiskOutput("Kran GeKo $ per Piece")+H35/Calculations!C9</f>
        <v>119.34721782178217</v>
      </c>
      <c r="J36" s="272"/>
      <c r="K36" s="272">
        <f>C4</f>
        <v>60</v>
      </c>
      <c r="L36" s="272" t="s">
        <v>46</v>
      </c>
      <c r="M36" s="332">
        <f ca="1">_xll.RiskPert(M37,M38,M39,_xll.RiskStatic(67))</f>
        <v>67</v>
      </c>
      <c r="N36" s="272" t="s">
        <v>209</v>
      </c>
      <c r="O36" s="292">
        <f ca="1">_xll.RiskOutput("Suaberkeitschicht Costs. Inv.")+K36*M36</f>
        <v>4020</v>
      </c>
      <c r="P36" s="271" t="s">
        <v>68</v>
      </c>
      <c r="Q36" s="618"/>
      <c r="S36" s="611" t="s">
        <v>99</v>
      </c>
      <c r="T36" s="612"/>
      <c r="U36" s="612"/>
      <c r="V36" s="612"/>
      <c r="W36" s="612"/>
      <c r="X36" s="612"/>
      <c r="Y36" s="613"/>
      <c r="Z36" s="341"/>
      <c r="AA36" s="350" t="s">
        <v>226</v>
      </c>
      <c r="AB36" s="350" t="s">
        <v>68</v>
      </c>
      <c r="AC36" s="355" t="s">
        <v>95</v>
      </c>
      <c r="AD36" s="270" t="s">
        <v>267</v>
      </c>
      <c r="AF36" s="350" t="s">
        <v>226</v>
      </c>
      <c r="AG36" s="350" t="s">
        <v>68</v>
      </c>
      <c r="AH36" s="355" t="s">
        <v>95</v>
      </c>
      <c r="AI36" s="270" t="s">
        <v>267</v>
      </c>
    </row>
    <row r="37" spans="2:35" ht="19.5" thickBot="1" x14ac:dyDescent="0.3">
      <c r="B37" s="214" t="s">
        <v>73</v>
      </c>
      <c r="C37" s="226">
        <f ca="1">C36/20</f>
        <v>295.15011000000004</v>
      </c>
      <c r="D37" s="217" t="s">
        <v>238</v>
      </c>
      <c r="J37" s="599"/>
      <c r="K37" s="600"/>
      <c r="L37" s="601"/>
      <c r="M37" s="283">
        <v>65</v>
      </c>
      <c r="N37" s="280" t="s">
        <v>198</v>
      </c>
      <c r="O37" s="621"/>
      <c r="P37" s="641"/>
      <c r="Q37" s="622"/>
      <c r="S37" s="311" t="s">
        <v>187</v>
      </c>
      <c r="T37" s="273" t="s">
        <v>183</v>
      </c>
      <c r="U37" s="274" t="s">
        <v>94</v>
      </c>
      <c r="V37" s="273" t="s">
        <v>186</v>
      </c>
      <c r="W37" s="274" t="s">
        <v>94</v>
      </c>
      <c r="X37" s="273" t="s">
        <v>81</v>
      </c>
      <c r="Y37" s="275" t="s">
        <v>94</v>
      </c>
      <c r="Z37" s="341"/>
      <c r="AA37" s="370" t="s">
        <v>187</v>
      </c>
      <c r="AB37" s="356">
        <f ca="1">X17</f>
        <v>3370.9674783333689</v>
      </c>
      <c r="AC37" s="175">
        <f>$C$7</f>
        <v>270</v>
      </c>
      <c r="AD37" s="357">
        <f ca="1">AB37/AC37</f>
        <v>12.485064734568033</v>
      </c>
      <c r="AF37" s="370" t="s">
        <v>187</v>
      </c>
      <c r="AG37" s="356"/>
      <c r="AH37" s="175"/>
      <c r="AI37" s="357"/>
    </row>
    <row r="38" spans="2:35" ht="15.75" thickBot="1" x14ac:dyDescent="0.3">
      <c r="J38" s="602"/>
      <c r="K38" s="603"/>
      <c r="L38" s="604"/>
      <c r="M38" s="284">
        <v>67</v>
      </c>
      <c r="N38" s="281" t="s">
        <v>200</v>
      </c>
      <c r="O38" s="621"/>
      <c r="P38" s="641"/>
      <c r="Q38" s="622"/>
      <c r="S38" s="272"/>
      <c r="T38" s="322">
        <f ca="1">K10</f>
        <v>66.726289051181595</v>
      </c>
      <c r="U38" s="272" t="s">
        <v>208</v>
      </c>
      <c r="V38" s="319">
        <f>F40</f>
        <v>25</v>
      </c>
      <c r="W38" s="272" t="s">
        <v>209</v>
      </c>
      <c r="X38" s="291">
        <f ca="1">_xll.RiskOutput("Mauerwerk LoKo")+T38*V38</f>
        <v>1668.1572262795398</v>
      </c>
      <c r="Y38" s="271" t="s">
        <v>68</v>
      </c>
      <c r="Z38" s="341"/>
      <c r="AA38" s="371" t="s">
        <v>194</v>
      </c>
      <c r="AB38" s="358">
        <f ca="1">Y33</f>
        <v>47415.6</v>
      </c>
      <c r="AC38" s="177">
        <f>$C$7</f>
        <v>270</v>
      </c>
      <c r="AD38" s="359">
        <f ca="1">AB38/AC38</f>
        <v>175.61333333333332</v>
      </c>
      <c r="AF38" s="371" t="s">
        <v>194</v>
      </c>
      <c r="AG38" s="358"/>
      <c r="AH38" s="177"/>
      <c r="AI38" s="359"/>
    </row>
    <row r="39" spans="2:35" ht="19.5" thickBot="1" x14ac:dyDescent="0.35">
      <c r="B39" s="662" t="s">
        <v>269</v>
      </c>
      <c r="C39" s="663"/>
      <c r="D39" s="664"/>
      <c r="F39" s="628" t="s">
        <v>187</v>
      </c>
      <c r="G39" s="630"/>
      <c r="J39" s="605"/>
      <c r="K39" s="606"/>
      <c r="L39" s="607"/>
      <c r="M39" s="285">
        <v>72</v>
      </c>
      <c r="N39" s="282" t="s">
        <v>202</v>
      </c>
      <c r="O39" s="623"/>
      <c r="P39" s="642"/>
      <c r="Q39" s="624"/>
      <c r="S39" s="314" t="s">
        <v>194</v>
      </c>
      <c r="T39" s="315" t="s">
        <v>95</v>
      </c>
      <c r="U39" s="316" t="s">
        <v>94</v>
      </c>
      <c r="V39" s="273" t="s">
        <v>314</v>
      </c>
      <c r="W39" s="315" t="s">
        <v>274</v>
      </c>
      <c r="X39" s="316" t="s">
        <v>94</v>
      </c>
      <c r="Y39" s="315" t="s">
        <v>81</v>
      </c>
      <c r="Z39" s="341"/>
      <c r="AA39" s="371" t="s">
        <v>210</v>
      </c>
      <c r="AB39" s="358"/>
      <c r="AC39" s="177"/>
      <c r="AD39" s="359"/>
      <c r="AF39" s="371" t="s">
        <v>210</v>
      </c>
      <c r="AG39" s="358"/>
      <c r="AH39" s="177"/>
      <c r="AI39" s="359"/>
    </row>
    <row r="40" spans="2:35" ht="19.5" thickBot="1" x14ac:dyDescent="0.35">
      <c r="B40" s="249" t="s">
        <v>184</v>
      </c>
      <c r="C40" s="249" t="s">
        <v>243</v>
      </c>
      <c r="D40" s="249" t="s">
        <v>246</v>
      </c>
      <c r="F40" s="276">
        <v>25</v>
      </c>
      <c r="G40" s="249" t="s">
        <v>209</v>
      </c>
      <c r="J40" s="608" t="s">
        <v>230</v>
      </c>
      <c r="K40" s="609"/>
      <c r="L40" s="609"/>
      <c r="M40" s="609"/>
      <c r="N40" s="609"/>
      <c r="O40" s="609"/>
      <c r="P40" s="610"/>
      <c r="Q40" s="321">
        <f ca="1">_xll.RiskOutput("EKT Total Sauberkeits-/Magerbetonschicht / Sauberkeits-/Magerbetonschicht")+O34+O36</f>
        <v>4486.5126748420289</v>
      </c>
      <c r="S40" s="342" t="s">
        <v>99</v>
      </c>
      <c r="T40" s="272">
        <f>C10</f>
        <v>1040</v>
      </c>
      <c r="U40" s="272" t="s">
        <v>47</v>
      </c>
      <c r="V40" s="344">
        <v>7.4999999999999997E-2</v>
      </c>
      <c r="W40" s="332">
        <f ca="1">_xll.RiskPert(W41,W42,W43,_xll.RiskStatic(20))</f>
        <v>20</v>
      </c>
      <c r="X40" s="272" t="s">
        <v>209</v>
      </c>
      <c r="Y40" s="318">
        <f ca="1">T40*(1+V40)*W40</f>
        <v>22360</v>
      </c>
      <c r="Z40" s="341"/>
      <c r="AA40" s="372" t="s">
        <v>211</v>
      </c>
      <c r="AB40" s="360"/>
      <c r="AC40" s="179"/>
      <c r="AD40" s="179"/>
      <c r="AF40" s="372" t="s">
        <v>211</v>
      </c>
      <c r="AG40" s="360">
        <f>X58</f>
        <v>39600</v>
      </c>
      <c r="AH40" s="179">
        <v>24</v>
      </c>
      <c r="AI40" s="373">
        <f>AG40/AH40</f>
        <v>1650</v>
      </c>
    </row>
    <row r="41" spans="2:35" ht="16.5" thickBot="1" x14ac:dyDescent="0.3">
      <c r="B41" s="245">
        <v>8</v>
      </c>
      <c r="C41" s="252">
        <f ca="1">C37</f>
        <v>295.15011000000004</v>
      </c>
      <c r="D41" s="250">
        <f ca="1">B41*C41</f>
        <v>2361.2008800000003</v>
      </c>
      <c r="S41" s="599"/>
      <c r="T41" s="601"/>
      <c r="U41" s="280" t="s">
        <v>198</v>
      </c>
      <c r="V41" s="345">
        <v>0.05</v>
      </c>
      <c r="W41" s="283">
        <v>18</v>
      </c>
      <c r="X41" s="280" t="s">
        <v>198</v>
      </c>
      <c r="Y41" s="257"/>
      <c r="Z41" s="341"/>
      <c r="AA41" s="351" t="s">
        <v>81</v>
      </c>
      <c r="AB41" s="354">
        <f ca="1">SUM(AB37:AB40)</f>
        <v>50786.567478333367</v>
      </c>
      <c r="AC41" s="353"/>
      <c r="AD41" s="352">
        <f ca="1">SUM(AD37:AD40)</f>
        <v>188.09839806790134</v>
      </c>
      <c r="AF41" s="351" t="s">
        <v>81</v>
      </c>
      <c r="AG41" s="354">
        <f>SUM(AG37:AG40)</f>
        <v>39600</v>
      </c>
      <c r="AH41" s="353"/>
      <c r="AI41" s="352">
        <f>SUM(AI37:AI40)</f>
        <v>1650</v>
      </c>
    </row>
    <row r="42" spans="2:35" ht="16.5" thickBot="1" x14ac:dyDescent="0.3">
      <c r="B42" s="251"/>
      <c r="C42" s="253" t="s">
        <v>228</v>
      </c>
      <c r="D42" s="297">
        <f ca="1">_xll.RiskOutput("Bagger Geko ($ per m³)")+D41/Calculations!C3</f>
        <v>3.0684871734892791</v>
      </c>
      <c r="J42" s="611" t="s">
        <v>223</v>
      </c>
      <c r="K42" s="612"/>
      <c r="L42" s="612"/>
      <c r="M42" s="612"/>
      <c r="N42" s="612"/>
      <c r="O42" s="612"/>
      <c r="P42" s="612"/>
      <c r="Q42" s="613"/>
      <c r="S42" s="602"/>
      <c r="T42" s="604"/>
      <c r="U42" s="281" t="s">
        <v>200</v>
      </c>
      <c r="V42" s="346">
        <v>7.4999999999999997E-2</v>
      </c>
      <c r="W42" s="284">
        <v>20</v>
      </c>
      <c r="X42" s="281" t="s">
        <v>200</v>
      </c>
      <c r="Y42" s="257"/>
      <c r="Z42" s="341"/>
      <c r="AA42" s="635" t="s">
        <v>125</v>
      </c>
      <c r="AB42" s="636"/>
      <c r="AC42" s="631">
        <f ca="1">_xll.RiskTarget(Y34,AB41)</f>
        <v>1</v>
      </c>
      <c r="AD42" s="632"/>
      <c r="AF42" s="635" t="s">
        <v>125</v>
      </c>
      <c r="AG42" s="636"/>
      <c r="AH42" s="631">
        <f ca="1">_xll.RiskTarget(X58,AG41)</f>
        <v>1</v>
      </c>
      <c r="AI42" s="632"/>
    </row>
    <row r="43" spans="2:35" ht="19.5" thickBot="1" x14ac:dyDescent="0.3">
      <c r="J43" s="314" t="s">
        <v>187</v>
      </c>
      <c r="K43" s="315" t="s">
        <v>183</v>
      </c>
      <c r="L43" s="316" t="s">
        <v>94</v>
      </c>
      <c r="M43" s="315" t="s">
        <v>186</v>
      </c>
      <c r="N43" s="316" t="s">
        <v>94</v>
      </c>
      <c r="O43" s="315" t="s">
        <v>81</v>
      </c>
      <c r="P43" s="317" t="s">
        <v>94</v>
      </c>
      <c r="Q43" s="647"/>
      <c r="S43" s="605"/>
      <c r="T43" s="607"/>
      <c r="U43" s="282" t="s">
        <v>202</v>
      </c>
      <c r="V43" s="347">
        <v>0.1</v>
      </c>
      <c r="W43" s="285">
        <v>22</v>
      </c>
      <c r="X43" s="282" t="s">
        <v>202</v>
      </c>
      <c r="Y43" s="340"/>
      <c r="Z43" s="341"/>
      <c r="AA43" s="635" t="s">
        <v>201</v>
      </c>
      <c r="AB43" s="636"/>
      <c r="AC43" s="633">
        <f ca="1">_xll.RiskPercentile(Y34,0.45)</f>
        <v>50786.567478333367</v>
      </c>
      <c r="AD43" s="634"/>
      <c r="AF43" s="635" t="s">
        <v>201</v>
      </c>
      <c r="AG43" s="636"/>
      <c r="AH43" s="633">
        <f ca="1">_xll.RiskPercentile(X58,0.45)</f>
        <v>39600</v>
      </c>
      <c r="AI43" s="634"/>
    </row>
    <row r="44" spans="2:35" ht="19.5" thickBot="1" x14ac:dyDescent="0.3">
      <c r="J44" s="310"/>
      <c r="K44" s="276">
        <f ca="1">K9</f>
        <v>89.777777777777771</v>
      </c>
      <c r="L44" s="267" t="s">
        <v>208</v>
      </c>
      <c r="M44" s="319">
        <f>F40</f>
        <v>25</v>
      </c>
      <c r="N44" s="267" t="s">
        <v>209</v>
      </c>
      <c r="O44" s="292">
        <f ca="1">_xll.RiskOutput("Columns LoKo")+K44*M44</f>
        <v>2244.4444444444443</v>
      </c>
      <c r="P44" s="271" t="s">
        <v>68</v>
      </c>
      <c r="Q44" s="649"/>
      <c r="S44" s="314"/>
      <c r="T44" s="315" t="s">
        <v>95</v>
      </c>
      <c r="U44" s="315" t="s">
        <v>260</v>
      </c>
      <c r="V44" s="316" t="s">
        <v>94</v>
      </c>
      <c r="W44" s="315" t="s">
        <v>186</v>
      </c>
      <c r="X44" s="316" t="s">
        <v>94</v>
      </c>
      <c r="Y44" s="273" t="s">
        <v>81</v>
      </c>
    </row>
    <row r="45" spans="2:35" ht="19.5" thickBot="1" x14ac:dyDescent="0.35">
      <c r="J45" s="311" t="s">
        <v>194</v>
      </c>
      <c r="K45" s="273" t="s">
        <v>261</v>
      </c>
      <c r="L45" s="274" t="s">
        <v>94</v>
      </c>
      <c r="M45" s="273" t="s">
        <v>214</v>
      </c>
      <c r="N45" s="274" t="s">
        <v>94</v>
      </c>
      <c r="O45" s="273" t="s">
        <v>84</v>
      </c>
      <c r="P45" s="275" t="s">
        <v>94</v>
      </c>
      <c r="Q45" s="273" t="s">
        <v>81</v>
      </c>
      <c r="S45" s="327" t="s">
        <v>259</v>
      </c>
      <c r="T45" s="272">
        <f>C10</f>
        <v>1040</v>
      </c>
      <c r="U45" s="331">
        <f ca="1">_xll.RiskPert(U46,U47,U48,_xll.RiskStatic(0.1))</f>
        <v>0.1</v>
      </c>
      <c r="V45" s="272" t="s">
        <v>235</v>
      </c>
      <c r="W45" s="343">
        <f ca="1">_xll.RiskPert(W46,W47,W48,_xll.RiskStatic(30))</f>
        <v>30</v>
      </c>
      <c r="X45" s="272" t="s">
        <v>244</v>
      </c>
      <c r="Y45" s="318">
        <f ca="1">T45*U45*W45</f>
        <v>3120</v>
      </c>
      <c r="AA45" s="628" t="s">
        <v>223</v>
      </c>
      <c r="AB45" s="629"/>
      <c r="AC45" s="629"/>
      <c r="AD45" s="630"/>
    </row>
    <row r="46" spans="2:35" ht="16.5" thickBot="1" x14ac:dyDescent="0.3">
      <c r="J46" s="637"/>
      <c r="K46" s="337">
        <f ca="1">_xll.RiskPert(K47,K48,K49,_xll.RiskStatic(0.15))</f>
        <v>0.15</v>
      </c>
      <c r="L46" s="267" t="s">
        <v>82</v>
      </c>
      <c r="M46" s="272">
        <v>85</v>
      </c>
      <c r="N46" s="267" t="s">
        <v>83</v>
      </c>
      <c r="O46" s="290">
        <f ca="1">_xll.RiskPert(O47,O48,O49,_xll.RiskStatic(1.1))</f>
        <v>1.1000000000000001</v>
      </c>
      <c r="P46" s="271" t="s">
        <v>235</v>
      </c>
      <c r="Q46" s="318">
        <f ca="1">K46*M46*O46</f>
        <v>14.025</v>
      </c>
      <c r="S46" s="286"/>
      <c r="T46" s="266"/>
      <c r="U46" s="283">
        <v>0.08</v>
      </c>
      <c r="V46" s="280" t="s">
        <v>198</v>
      </c>
      <c r="W46" s="283">
        <v>25</v>
      </c>
      <c r="X46" s="280" t="s">
        <v>198</v>
      </c>
      <c r="Y46" s="298"/>
      <c r="AA46" s="350" t="s">
        <v>226</v>
      </c>
      <c r="AB46" s="350" t="s">
        <v>68</v>
      </c>
      <c r="AC46" s="355" t="s">
        <v>95</v>
      </c>
      <c r="AD46" s="270" t="s">
        <v>267</v>
      </c>
    </row>
    <row r="47" spans="2:35" ht="15" customHeight="1" x14ac:dyDescent="0.25">
      <c r="J47" s="638"/>
      <c r="K47" s="263">
        <v>0.13</v>
      </c>
      <c r="L47" s="280" t="s">
        <v>198</v>
      </c>
      <c r="M47" s="599"/>
      <c r="N47" s="601"/>
      <c r="O47" s="283">
        <v>1</v>
      </c>
      <c r="P47" s="280" t="s">
        <v>198</v>
      </c>
      <c r="Q47" s="647"/>
      <c r="S47" s="286"/>
      <c r="T47" s="266"/>
      <c r="U47" s="284">
        <v>0.1</v>
      </c>
      <c r="V47" s="281" t="s">
        <v>200</v>
      </c>
      <c r="W47" s="284">
        <v>30</v>
      </c>
      <c r="X47" s="281" t="s">
        <v>200</v>
      </c>
      <c r="Y47" s="298"/>
      <c r="AA47" s="370" t="s">
        <v>187</v>
      </c>
      <c r="AB47" s="356">
        <f ca="1">O44</f>
        <v>2244.4444444444443</v>
      </c>
      <c r="AC47" s="175">
        <f>$C$9</f>
        <v>101</v>
      </c>
      <c r="AD47" s="357">
        <f ca="1">AB47/AC47</f>
        <v>22.222222222222221</v>
      </c>
    </row>
    <row r="48" spans="2:35" ht="15" customHeight="1" thickBot="1" x14ac:dyDescent="0.3">
      <c r="J48" s="638"/>
      <c r="K48" s="261">
        <v>0.15</v>
      </c>
      <c r="L48" s="281" t="s">
        <v>200</v>
      </c>
      <c r="M48" s="602"/>
      <c r="N48" s="604"/>
      <c r="O48" s="284">
        <v>1.1000000000000001</v>
      </c>
      <c r="P48" s="281" t="s">
        <v>200</v>
      </c>
      <c r="Q48" s="648"/>
      <c r="S48" s="287"/>
      <c r="T48" s="288"/>
      <c r="U48" s="285">
        <v>0.12</v>
      </c>
      <c r="V48" s="282" t="s">
        <v>202</v>
      </c>
      <c r="W48" s="285">
        <v>35</v>
      </c>
      <c r="X48" s="282" t="s">
        <v>202</v>
      </c>
      <c r="Y48" s="299"/>
      <c r="AA48" s="371" t="s">
        <v>194</v>
      </c>
      <c r="AB48" s="358">
        <f ca="1">P56+P51</f>
        <v>20384.349999999999</v>
      </c>
      <c r="AC48" s="177">
        <f t="shared" ref="AC48:AC49" si="1">$C$9</f>
        <v>101</v>
      </c>
      <c r="AD48" s="359">
        <f ca="1">AB48/AC48</f>
        <v>201.82524752475246</v>
      </c>
    </row>
    <row r="49" spans="10:30" ht="16.5" thickBot="1" x14ac:dyDescent="0.3">
      <c r="J49" s="638"/>
      <c r="K49" s="338">
        <v>0.2</v>
      </c>
      <c r="L49" s="282" t="s">
        <v>202</v>
      </c>
      <c r="M49" s="605"/>
      <c r="N49" s="607"/>
      <c r="O49" s="285">
        <v>1.3</v>
      </c>
      <c r="P49" s="282" t="s">
        <v>202</v>
      </c>
      <c r="Q49" s="649"/>
      <c r="S49" s="614" t="s">
        <v>195</v>
      </c>
      <c r="T49" s="615"/>
      <c r="U49" s="615"/>
      <c r="V49" s="615"/>
      <c r="W49" s="615"/>
      <c r="X49" s="616"/>
      <c r="Y49" s="318">
        <f ca="1">_xll.RiskOutput("Mauerwerk Costs. Inv.")+Y40+Y45</f>
        <v>25480</v>
      </c>
      <c r="AA49" s="371" t="s">
        <v>210</v>
      </c>
      <c r="AB49" s="358">
        <f ca="1">Q61</f>
        <v>5010.1274444444443</v>
      </c>
      <c r="AC49" s="177">
        <f t="shared" si="1"/>
        <v>101</v>
      </c>
      <c r="AD49" s="359">
        <f ca="1">AB49/AC49</f>
        <v>49.605222222222224</v>
      </c>
    </row>
    <row r="50" spans="10:30" ht="15.75" customHeight="1" thickBot="1" x14ac:dyDescent="0.35">
      <c r="J50" s="638"/>
      <c r="K50" s="275" t="s">
        <v>81</v>
      </c>
      <c r="L50" s="275" t="s">
        <v>94</v>
      </c>
      <c r="M50" s="273" t="s">
        <v>313</v>
      </c>
      <c r="N50" s="275" t="s">
        <v>222</v>
      </c>
      <c r="O50" s="273" t="s">
        <v>185</v>
      </c>
      <c r="P50" s="273" t="s">
        <v>81</v>
      </c>
      <c r="Q50" s="275" t="s">
        <v>94</v>
      </c>
      <c r="S50" s="608" t="s">
        <v>204</v>
      </c>
      <c r="T50" s="609"/>
      <c r="U50" s="609"/>
      <c r="V50" s="609"/>
      <c r="W50" s="609"/>
      <c r="X50" s="610"/>
      <c r="Y50" s="321">
        <f ca="1">_xll.RiskOutput("EKT Total Mauerwerk")+Y49+X38</f>
        <v>27148.157226279538</v>
      </c>
      <c r="AA50" s="372" t="s">
        <v>211</v>
      </c>
      <c r="AB50" s="360"/>
      <c r="AC50" s="179"/>
      <c r="AD50" s="179"/>
    </row>
    <row r="51" spans="10:30" ht="16.5" customHeight="1" thickBot="1" x14ac:dyDescent="0.35">
      <c r="J51" s="638"/>
      <c r="K51" s="339">
        <f ca="1">Q46</f>
        <v>14.025</v>
      </c>
      <c r="L51" s="271" t="s">
        <v>68</v>
      </c>
      <c r="M51" s="276">
        <v>8</v>
      </c>
      <c r="N51" s="305">
        <f ca="1">_xll.RiskPert(N52,N53,N54,_xll.RiskStatic(0.75))</f>
        <v>0.75</v>
      </c>
      <c r="O51" s="276">
        <f ca="1">L9</f>
        <v>11.222222222222221</v>
      </c>
      <c r="P51" s="292">
        <f ca="1">K51*M51*N51*O51</f>
        <v>944.35</v>
      </c>
      <c r="Q51" s="271" t="s">
        <v>68</v>
      </c>
      <c r="Z51" s="348"/>
      <c r="AA51" s="351" t="s">
        <v>81</v>
      </c>
      <c r="AB51" s="354">
        <f ca="1">SUM(AB47:AB50)</f>
        <v>27638.921888888886</v>
      </c>
      <c r="AC51" s="353"/>
      <c r="AD51" s="352">
        <f ca="1">SUM(AD47:AD50)</f>
        <v>273.65269196919689</v>
      </c>
    </row>
    <row r="52" spans="10:30" ht="15" customHeight="1" thickBot="1" x14ac:dyDescent="0.35">
      <c r="J52" s="638"/>
      <c r="K52" s="619"/>
      <c r="L52" s="640"/>
      <c r="M52" s="620"/>
      <c r="N52" s="302">
        <v>0.65</v>
      </c>
      <c r="O52" s="280" t="s">
        <v>198</v>
      </c>
      <c r="P52" s="650"/>
      <c r="Q52" s="651"/>
      <c r="S52" s="611" t="s">
        <v>92</v>
      </c>
      <c r="T52" s="612"/>
      <c r="U52" s="612"/>
      <c r="V52" s="612"/>
      <c r="W52" s="612"/>
      <c r="X52" s="612"/>
      <c r="Y52" s="613"/>
      <c r="Z52" s="348"/>
      <c r="AA52" s="635" t="s">
        <v>125</v>
      </c>
      <c r="AB52" s="636"/>
      <c r="AC52" s="631">
        <f ca="1">_xll.RiskTarget(Q62,AB51)</f>
        <v>1</v>
      </c>
      <c r="AD52" s="632"/>
    </row>
    <row r="53" spans="10:30" ht="19.5" thickBot="1" x14ac:dyDescent="0.35">
      <c r="J53" s="638"/>
      <c r="K53" s="621"/>
      <c r="L53" s="641"/>
      <c r="M53" s="622"/>
      <c r="N53" s="303">
        <v>0.75</v>
      </c>
      <c r="O53" s="281" t="s">
        <v>200</v>
      </c>
      <c r="P53" s="652"/>
      <c r="Q53" s="653"/>
      <c r="S53" s="311" t="s">
        <v>187</v>
      </c>
      <c r="T53" s="273" t="s">
        <v>183</v>
      </c>
      <c r="U53" s="274" t="s">
        <v>94</v>
      </c>
      <c r="V53" s="273" t="s">
        <v>186</v>
      </c>
      <c r="W53" s="274" t="s">
        <v>94</v>
      </c>
      <c r="X53" s="273" t="s">
        <v>81</v>
      </c>
      <c r="Y53" s="275" t="s">
        <v>94</v>
      </c>
      <c r="Z53" s="348"/>
      <c r="AA53" s="635" t="s">
        <v>201</v>
      </c>
      <c r="AB53" s="636"/>
      <c r="AC53" s="633">
        <f ca="1">_xll.RiskPercentile(Q62,0.45)</f>
        <v>27638.921888888886</v>
      </c>
      <c r="AD53" s="634"/>
    </row>
    <row r="54" spans="10:30" ht="15.75" customHeight="1" thickBot="1" x14ac:dyDescent="0.35">
      <c r="J54" s="638"/>
      <c r="K54" s="623"/>
      <c r="L54" s="642"/>
      <c r="M54" s="624"/>
      <c r="N54" s="304">
        <v>0.85</v>
      </c>
      <c r="O54" s="282" t="s">
        <v>202</v>
      </c>
      <c r="P54" s="654"/>
      <c r="Q54" s="655"/>
      <c r="S54" s="272"/>
      <c r="T54" s="322">
        <f ca="1">K11</f>
        <v>17.007252379665985</v>
      </c>
      <c r="U54" s="272" t="s">
        <v>208</v>
      </c>
      <c r="V54" s="319">
        <f>F40</f>
        <v>25</v>
      </c>
      <c r="W54" s="272" t="s">
        <v>209</v>
      </c>
      <c r="X54" s="320">
        <f ca="1">_xll.RiskOutput("EKT Verfüllen")+T54*V54</f>
        <v>425.18130949164964</v>
      </c>
      <c r="Y54" s="271" t="s">
        <v>68</v>
      </c>
      <c r="Z54" s="348"/>
    </row>
    <row r="55" spans="10:30" ht="15.75" customHeight="1" thickBot="1" x14ac:dyDescent="0.35">
      <c r="J55" s="638"/>
      <c r="K55" s="275" t="s">
        <v>212</v>
      </c>
      <c r="L55" s="275" t="s">
        <v>95</v>
      </c>
      <c r="M55" s="273" t="s">
        <v>94</v>
      </c>
      <c r="N55" s="275" t="s">
        <v>213</v>
      </c>
      <c r="O55" s="273" t="s">
        <v>94</v>
      </c>
      <c r="P55" s="273" t="s">
        <v>81</v>
      </c>
      <c r="Q55" s="275" t="s">
        <v>94</v>
      </c>
      <c r="S55" s="349"/>
      <c r="T55" s="349"/>
      <c r="U55" s="349"/>
      <c r="V55" s="349"/>
      <c r="W55" s="349"/>
      <c r="X55" s="349"/>
      <c r="Y55" s="349"/>
      <c r="Z55" s="348"/>
    </row>
    <row r="56" spans="10:30" ht="16.5" customHeight="1" thickBot="1" x14ac:dyDescent="0.35">
      <c r="J56" s="638"/>
      <c r="K56" s="339"/>
      <c r="L56" s="271">
        <v>81</v>
      </c>
      <c r="M56" s="276" t="s">
        <v>262</v>
      </c>
      <c r="N56" s="289">
        <f ca="1">_xll.RiskPert(N57,N58,N59,_xll.RiskStatic(240))</f>
        <v>240</v>
      </c>
      <c r="O56" s="276" t="s">
        <v>266</v>
      </c>
      <c r="P56" s="292">
        <f ca="1">L56*N56</f>
        <v>19440</v>
      </c>
      <c r="Q56" s="271" t="s">
        <v>68</v>
      </c>
      <c r="S56" s="611" t="s">
        <v>224</v>
      </c>
      <c r="T56" s="612"/>
      <c r="U56" s="612"/>
      <c r="V56" s="612"/>
      <c r="W56" s="612"/>
      <c r="X56" s="612"/>
      <c r="Y56" s="613"/>
      <c r="Z56" s="348"/>
    </row>
    <row r="57" spans="10:30" ht="15" customHeight="1" thickBot="1" x14ac:dyDescent="0.35">
      <c r="J57" s="638"/>
      <c r="K57" s="619"/>
      <c r="L57" s="640"/>
      <c r="M57" s="620"/>
      <c r="N57" s="334">
        <v>220</v>
      </c>
      <c r="O57" s="280" t="s">
        <v>198</v>
      </c>
      <c r="P57" s="645" t="s">
        <v>194</v>
      </c>
      <c r="Q57" s="646"/>
      <c r="S57" s="311" t="s">
        <v>211</v>
      </c>
      <c r="T57" s="273" t="s">
        <v>95</v>
      </c>
      <c r="U57" s="274" t="s">
        <v>94</v>
      </c>
      <c r="V57" s="273" t="s">
        <v>186</v>
      </c>
      <c r="W57" s="274" t="s">
        <v>94</v>
      </c>
      <c r="X57" s="273" t="s">
        <v>81</v>
      </c>
      <c r="Y57" s="275" t="s">
        <v>94</v>
      </c>
      <c r="Z57" s="348"/>
    </row>
    <row r="58" spans="10:30" ht="15" customHeight="1" thickBot="1" x14ac:dyDescent="0.35">
      <c r="J58" s="638"/>
      <c r="K58" s="621"/>
      <c r="L58" s="641"/>
      <c r="M58" s="622"/>
      <c r="N58" s="335">
        <v>240</v>
      </c>
      <c r="O58" s="281" t="s">
        <v>200</v>
      </c>
      <c r="P58" s="643">
        <f ca="1">_xll.RiskOutput("Sützen Costs. Inv.")+P51+P56</f>
        <v>20384.349999999999</v>
      </c>
      <c r="Q58" s="644"/>
      <c r="S58" s="272"/>
      <c r="T58" s="322">
        <v>24</v>
      </c>
      <c r="U58" s="272" t="s">
        <v>37</v>
      </c>
      <c r="V58" s="319">
        <v>1650</v>
      </c>
      <c r="W58" s="272" t="s">
        <v>237</v>
      </c>
      <c r="X58" s="320">
        <f>_xll.RiskOutput("EKT Stahlbau")+T58*V58</f>
        <v>39600</v>
      </c>
      <c r="Y58" s="271" t="s">
        <v>68</v>
      </c>
      <c r="Z58" s="348"/>
    </row>
    <row r="59" spans="10:30" ht="15.75" customHeight="1" thickBot="1" x14ac:dyDescent="0.35">
      <c r="J59" s="639"/>
      <c r="K59" s="623"/>
      <c r="L59" s="642"/>
      <c r="M59" s="624"/>
      <c r="N59" s="336">
        <v>260</v>
      </c>
      <c r="O59" s="282" t="s">
        <v>202</v>
      </c>
      <c r="P59" s="386"/>
      <c r="Q59" s="387"/>
      <c r="S59" s="349"/>
      <c r="T59" s="349"/>
      <c r="U59" s="349"/>
      <c r="V59" s="349"/>
      <c r="W59" s="349"/>
      <c r="X59" s="349"/>
      <c r="Y59" s="349"/>
      <c r="Z59" s="348"/>
    </row>
    <row r="60" spans="10:30" ht="15.75" customHeight="1" thickBot="1" x14ac:dyDescent="0.35">
      <c r="J60" s="311" t="s">
        <v>210</v>
      </c>
      <c r="K60" s="273" t="s">
        <v>66</v>
      </c>
      <c r="L60" s="274" t="s">
        <v>94</v>
      </c>
      <c r="M60" s="273" t="s">
        <v>192</v>
      </c>
      <c r="N60" s="274" t="s">
        <v>94</v>
      </c>
      <c r="O60" s="273" t="s">
        <v>185</v>
      </c>
      <c r="P60" s="275" t="s">
        <v>94</v>
      </c>
      <c r="Q60" s="312" t="s">
        <v>81</v>
      </c>
      <c r="Z60" s="348"/>
    </row>
    <row r="61" spans="10:30" ht="16.5" thickBot="1" x14ac:dyDescent="0.3">
      <c r="J61" s="272"/>
      <c r="K61" s="333">
        <f ca="1">H20</f>
        <v>217.5</v>
      </c>
      <c r="L61" s="272" t="s">
        <v>238</v>
      </c>
      <c r="M61" s="319">
        <f ca="1">G29</f>
        <v>228.94700000000003</v>
      </c>
      <c r="N61" s="272" t="s">
        <v>238</v>
      </c>
      <c r="O61" s="313">
        <f ca="1">L9</f>
        <v>11.222222222222221</v>
      </c>
      <c r="P61" s="272" t="s">
        <v>86</v>
      </c>
      <c r="Q61" s="318">
        <f ca="1">_xll.RiskOutput("Columns GeKo")+(K61+M61)*O61</f>
        <v>5010.1274444444443</v>
      </c>
    </row>
    <row r="62" spans="10:30" ht="19.5" thickBot="1" x14ac:dyDescent="0.35">
      <c r="J62" s="608" t="s">
        <v>85</v>
      </c>
      <c r="K62" s="609"/>
      <c r="L62" s="609"/>
      <c r="M62" s="609"/>
      <c r="N62" s="609"/>
      <c r="O62" s="609"/>
      <c r="P62" s="610"/>
      <c r="Q62" s="321">
        <f ca="1">_xll.RiskOutput("EKT Total BetonfertigteiColumns")+O44+P51+P56+Q61</f>
        <v>27638.921888888886</v>
      </c>
    </row>
    <row r="66" spans="2:17" ht="15.75" thickBot="1" x14ac:dyDescent="0.3"/>
    <row r="67" spans="2:17" ht="24" thickBot="1" x14ac:dyDescent="0.4">
      <c r="B67" s="625" t="s">
        <v>126</v>
      </c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627"/>
    </row>
    <row r="68" spans="2:17" ht="15.75" thickBot="1" x14ac:dyDescent="0.3"/>
    <row r="69" spans="2:17" ht="16.5" thickBot="1" x14ac:dyDescent="0.3">
      <c r="B69" s="401"/>
      <c r="C69" s="408" t="s">
        <v>183</v>
      </c>
      <c r="D69" s="402" t="s">
        <v>94</v>
      </c>
      <c r="E69" s="408" t="s">
        <v>186</v>
      </c>
      <c r="F69" s="402" t="s">
        <v>94</v>
      </c>
      <c r="G69" s="408" t="s">
        <v>313</v>
      </c>
      <c r="H69" s="402" t="s">
        <v>222</v>
      </c>
      <c r="I69" s="408" t="s">
        <v>197</v>
      </c>
    </row>
    <row r="70" spans="2:17" x14ac:dyDescent="0.25">
      <c r="B70" s="409" t="s">
        <v>215</v>
      </c>
      <c r="C70" s="410">
        <v>1500</v>
      </c>
      <c r="D70" s="411" t="s">
        <v>87</v>
      </c>
      <c r="E70" s="412">
        <v>25</v>
      </c>
      <c r="F70" s="411" t="s">
        <v>239</v>
      </c>
      <c r="G70" s="410"/>
      <c r="H70" s="411"/>
      <c r="I70" s="413">
        <f>C70*E70</f>
        <v>37500</v>
      </c>
    </row>
    <row r="71" spans="2:17" ht="15.75" thickBot="1" x14ac:dyDescent="0.3">
      <c r="B71" s="422" t="s">
        <v>216</v>
      </c>
      <c r="C71" s="423">
        <f ca="1">Schedule!V28/20</f>
        <v>1.667039306569885</v>
      </c>
      <c r="D71" s="424" t="s">
        <v>88</v>
      </c>
      <c r="E71" s="425">
        <v>3000</v>
      </c>
      <c r="F71" s="424" t="s">
        <v>245</v>
      </c>
      <c r="G71" s="426"/>
      <c r="H71" s="424"/>
      <c r="I71" s="429">
        <f ca="1">C71*E71</f>
        <v>5001.1179197096553</v>
      </c>
    </row>
    <row r="72" spans="2:17" x14ac:dyDescent="0.25">
      <c r="B72" s="409" t="s">
        <v>217</v>
      </c>
      <c r="C72" s="430">
        <f ca="1">Schedule!V28/20</f>
        <v>1.667039306569885</v>
      </c>
      <c r="D72" s="411" t="s">
        <v>88</v>
      </c>
      <c r="E72" s="412">
        <v>3500</v>
      </c>
      <c r="F72" s="411" t="s">
        <v>245</v>
      </c>
      <c r="G72" s="410"/>
      <c r="H72" s="411"/>
      <c r="I72" s="413">
        <f ca="1">C72*E72</f>
        <v>5834.6375729945976</v>
      </c>
    </row>
    <row r="73" spans="2:17" x14ac:dyDescent="0.25">
      <c r="B73" s="414" t="s">
        <v>218</v>
      </c>
      <c r="C73" s="415">
        <f ca="1">Schedule!V28-L3</f>
        <v>27.735216710607585</v>
      </c>
      <c r="D73" s="416" t="s">
        <v>221</v>
      </c>
      <c r="E73" s="417">
        <f ca="1">C37</f>
        <v>295.15011000000004</v>
      </c>
      <c r="F73" s="416" t="s">
        <v>238</v>
      </c>
      <c r="G73" s="418"/>
      <c r="H73" s="416"/>
      <c r="I73" s="419">
        <f ca="1">C73*E73</f>
        <v>8186.0522630096675</v>
      </c>
    </row>
    <row r="74" spans="2:17" x14ac:dyDescent="0.25">
      <c r="B74" s="414"/>
      <c r="C74" s="415">
        <f ca="1">Schedule!V28</f>
        <v>33.340786131397699</v>
      </c>
      <c r="D74" s="416" t="s">
        <v>221</v>
      </c>
      <c r="E74" s="417">
        <f ca="1">K24</f>
        <v>7.92</v>
      </c>
      <c r="F74" s="416" t="s">
        <v>239</v>
      </c>
      <c r="G74" s="420">
        <v>8</v>
      </c>
      <c r="H74" s="421">
        <f ca="1">N24</f>
        <v>0.75</v>
      </c>
      <c r="I74" s="419">
        <f ca="1">C74*E74*G74*H74</f>
        <v>1584.3541569640186</v>
      </c>
      <c r="J74" s="403"/>
    </row>
    <row r="75" spans="2:17" x14ac:dyDescent="0.25">
      <c r="B75" s="414" t="s">
        <v>219</v>
      </c>
      <c r="C75" s="415">
        <f ca="1">Schedule!V28-Calculations!L9</f>
        <v>22.118563909175478</v>
      </c>
      <c r="D75" s="416" t="s">
        <v>221</v>
      </c>
      <c r="E75" s="417">
        <f ca="1">G31</f>
        <v>446.447</v>
      </c>
      <c r="F75" s="416" t="s">
        <v>238</v>
      </c>
      <c r="G75" s="418"/>
      <c r="H75" s="416"/>
      <c r="I75" s="419">
        <f ca="1">C75*E75</f>
        <v>9874.7665015596649</v>
      </c>
    </row>
    <row r="76" spans="2:17" ht="15.75" thickBot="1" x14ac:dyDescent="0.3">
      <c r="B76" s="422"/>
      <c r="C76" s="423">
        <f ca="1">C75</f>
        <v>22.118563909175478</v>
      </c>
      <c r="D76" s="424" t="s">
        <v>221</v>
      </c>
      <c r="E76" s="427">
        <f ca="1">K51</f>
        <v>14.025</v>
      </c>
      <c r="F76" s="424" t="s">
        <v>239</v>
      </c>
      <c r="G76" s="431">
        <v>8</v>
      </c>
      <c r="H76" s="432">
        <f ca="1">N51</f>
        <v>0.75</v>
      </c>
      <c r="I76" s="429">
        <f ca="1">C76*E76*G76*H76</f>
        <v>1861.2771529571166</v>
      </c>
    </row>
    <row r="77" spans="2:17" ht="15.75" thickBot="1" x14ac:dyDescent="0.3">
      <c r="B77" s="222" t="s">
        <v>220</v>
      </c>
      <c r="C77" s="405">
        <f ca="1">Schedule!V28/20</f>
        <v>1.667039306569885</v>
      </c>
      <c r="D77" s="288" t="s">
        <v>88</v>
      </c>
      <c r="E77" s="404">
        <v>1000</v>
      </c>
      <c r="F77" s="288" t="s">
        <v>245</v>
      </c>
      <c r="G77" s="406"/>
      <c r="H77" s="288"/>
      <c r="I77" s="407">
        <f ca="1">C77*E77</f>
        <v>1667.039306569885</v>
      </c>
    </row>
    <row r="78" spans="2:17" x14ac:dyDescent="0.25">
      <c r="I78" s="428">
        <f ca="1">SUM(I70:I77)</f>
        <v>71509.244873764605</v>
      </c>
    </row>
  </sheetData>
  <mergeCells count="84">
    <mergeCell ref="B67:Q67"/>
    <mergeCell ref="AH43:AI43"/>
    <mergeCell ref="AH42:AI42"/>
    <mergeCell ref="AF22:AG22"/>
    <mergeCell ref="AF23:AG23"/>
    <mergeCell ref="AF32:AG32"/>
    <mergeCell ref="AF33:AG33"/>
    <mergeCell ref="AH23:AI23"/>
    <mergeCell ref="AH22:AI22"/>
    <mergeCell ref="AH32:AI32"/>
    <mergeCell ref="AH33:AI33"/>
    <mergeCell ref="AF25:AI25"/>
    <mergeCell ref="AF35:AI35"/>
    <mergeCell ref="AA53:AB53"/>
    <mergeCell ref="AC53:AD53"/>
    <mergeCell ref="AC52:AD52"/>
    <mergeCell ref="AA45:AD45"/>
    <mergeCell ref="AF42:AG42"/>
    <mergeCell ref="AF43:AG43"/>
    <mergeCell ref="AA42:AB42"/>
    <mergeCell ref="AA43:AB43"/>
    <mergeCell ref="AC43:AD43"/>
    <mergeCell ref="AC42:AD42"/>
    <mergeCell ref="AA52:AB52"/>
    <mergeCell ref="B13:H13"/>
    <mergeCell ref="B15:D15"/>
    <mergeCell ref="F15:H15"/>
    <mergeCell ref="AA33:AB33"/>
    <mergeCell ref="J13:Y13"/>
    <mergeCell ref="S15:Y15"/>
    <mergeCell ref="J15:Q15"/>
    <mergeCell ref="B39:D39"/>
    <mergeCell ref="J32:Q32"/>
    <mergeCell ref="F33:H33"/>
    <mergeCell ref="F39:G39"/>
    <mergeCell ref="J42:Q42"/>
    <mergeCell ref="Q43:Q44"/>
    <mergeCell ref="J40:P40"/>
    <mergeCell ref="O37:Q39"/>
    <mergeCell ref="F17:F19"/>
    <mergeCell ref="F25:F27"/>
    <mergeCell ref="Q16:Q17"/>
    <mergeCell ref="AA22:AB22"/>
    <mergeCell ref="AA23:AB23"/>
    <mergeCell ref="X20:Y22"/>
    <mergeCell ref="X25:Y27"/>
    <mergeCell ref="S20:U22"/>
    <mergeCell ref="Q20:Q22"/>
    <mergeCell ref="J19:J27"/>
    <mergeCell ref="M20:N22"/>
    <mergeCell ref="P25:Q27"/>
    <mergeCell ref="S25:U27"/>
    <mergeCell ref="J62:P62"/>
    <mergeCell ref="J46:J59"/>
    <mergeCell ref="K57:M59"/>
    <mergeCell ref="K52:M54"/>
    <mergeCell ref="P58:Q58"/>
    <mergeCell ref="P57:Q57"/>
    <mergeCell ref="M47:N49"/>
    <mergeCell ref="Q47:Q49"/>
    <mergeCell ref="P52:Q54"/>
    <mergeCell ref="AA13:AI13"/>
    <mergeCell ref="AA15:AD15"/>
    <mergeCell ref="AA25:AD25"/>
    <mergeCell ref="AA35:AD35"/>
    <mergeCell ref="AF15:AI15"/>
    <mergeCell ref="AC22:AD22"/>
    <mergeCell ref="AC23:AD23"/>
    <mergeCell ref="AC33:AD33"/>
    <mergeCell ref="AC32:AD32"/>
    <mergeCell ref="AA32:AB32"/>
    <mergeCell ref="J37:L39"/>
    <mergeCell ref="J30:P30"/>
    <mergeCell ref="S52:Y52"/>
    <mergeCell ref="S56:Y56"/>
    <mergeCell ref="S36:Y36"/>
    <mergeCell ref="S50:X50"/>
    <mergeCell ref="S49:X49"/>
    <mergeCell ref="S41:T43"/>
    <mergeCell ref="Q33:Q36"/>
    <mergeCell ref="S33:X33"/>
    <mergeCell ref="S30:U32"/>
    <mergeCell ref="S34:X34"/>
    <mergeCell ref="X30:Y3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zoomScale="70" zoomScaleNormal="70" workbookViewId="0">
      <selection activeCell="B2" sqref="B2:F2"/>
    </sheetView>
  </sheetViews>
  <sheetFormatPr baseColWidth="10" defaultRowHeight="15" x14ac:dyDescent="0.25"/>
  <cols>
    <col min="1" max="1" width="3" customWidth="1"/>
    <col min="2" max="2" width="76.140625" bestFit="1" customWidth="1"/>
    <col min="3" max="3" width="18.5703125" bestFit="1" customWidth="1"/>
    <col min="4" max="4" width="18.28515625" bestFit="1" customWidth="1"/>
    <col min="5" max="5" width="8.28515625" bestFit="1" customWidth="1"/>
    <col min="6" max="6" width="16.42578125" bestFit="1" customWidth="1"/>
    <col min="7" max="7" width="13" bestFit="1" customWidth="1"/>
    <col min="8" max="8" width="11.42578125" bestFit="1" customWidth="1"/>
    <col min="9" max="9" width="14.42578125" bestFit="1" customWidth="1"/>
    <col min="10" max="10" width="13.7109375" bestFit="1" customWidth="1"/>
    <col min="11" max="11" width="16.7109375" bestFit="1" customWidth="1"/>
    <col min="13" max="13" width="30.5703125" bestFit="1" customWidth="1"/>
  </cols>
  <sheetData>
    <row r="1" spans="2:16" ht="15.75" thickBot="1" x14ac:dyDescent="0.3"/>
    <row r="2" spans="2:16" ht="33.75" thickBot="1" x14ac:dyDescent="0.4">
      <c r="B2" s="665" t="s">
        <v>270</v>
      </c>
      <c r="C2" s="666"/>
      <c r="D2" s="666"/>
      <c r="E2" s="666"/>
      <c r="F2" s="667"/>
      <c r="G2" s="437" t="s">
        <v>168</v>
      </c>
      <c r="H2" s="438" t="str">
        <f>'Example Wall 4.0 m'!H5</f>
        <v>Capacity</v>
      </c>
      <c r="I2" s="666" t="s">
        <v>167</v>
      </c>
      <c r="J2" s="666"/>
      <c r="K2" s="667"/>
      <c r="M2" s="680" t="s">
        <v>272</v>
      </c>
      <c r="N2" s="681"/>
      <c r="O2" s="681"/>
      <c r="P2" s="682"/>
    </row>
    <row r="3" spans="2:16" ht="21.75" thickBot="1" x14ac:dyDescent="0.4">
      <c r="B3" s="683" t="s">
        <v>42</v>
      </c>
      <c r="C3" s="685"/>
      <c r="D3" s="686"/>
      <c r="E3" s="686"/>
      <c r="F3" s="687"/>
      <c r="G3" s="685"/>
      <c r="H3" s="687"/>
      <c r="I3" s="666" t="s">
        <v>163</v>
      </c>
      <c r="J3" s="666"/>
      <c r="K3" s="667"/>
      <c r="M3" s="473" t="s">
        <v>173</v>
      </c>
      <c r="N3" s="472" t="s">
        <v>121</v>
      </c>
      <c r="O3" s="472" t="s">
        <v>162</v>
      </c>
      <c r="P3" s="472" t="s">
        <v>122</v>
      </c>
    </row>
    <row r="4" spans="2:16" ht="21.75" thickBot="1" x14ac:dyDescent="0.4">
      <c r="B4" s="684"/>
      <c r="C4" s="117" t="s">
        <v>163</v>
      </c>
      <c r="D4" s="132" t="s">
        <v>94</v>
      </c>
      <c r="E4" s="133" t="s">
        <v>162</v>
      </c>
      <c r="F4" s="129" t="s">
        <v>94</v>
      </c>
      <c r="G4" s="121" t="s">
        <v>121</v>
      </c>
      <c r="H4" s="121" t="s">
        <v>122</v>
      </c>
      <c r="I4" s="118" t="s">
        <v>164</v>
      </c>
      <c r="J4" s="118" t="s">
        <v>165</v>
      </c>
      <c r="K4" s="118" t="s">
        <v>166</v>
      </c>
      <c r="M4" s="477" t="s">
        <v>90</v>
      </c>
      <c r="N4" s="474">
        <f>'NN-Predictions'!D3</f>
        <v>0.23311009937008917</v>
      </c>
      <c r="O4" s="485">
        <v>2</v>
      </c>
      <c r="P4" s="474">
        <f>O4/N4</f>
        <v>8.5796368557364353</v>
      </c>
    </row>
    <row r="5" spans="2:16" ht="24" thickBot="1" x14ac:dyDescent="0.4">
      <c r="B5" s="124" t="s">
        <v>155</v>
      </c>
      <c r="C5" s="138">
        <f ca="1">_xll.RiskPert(C6,C7,C8,_xll.RiskStatic(P4))</f>
        <v>8.5796368557364353</v>
      </c>
      <c r="D5" s="115" t="s">
        <v>103</v>
      </c>
      <c r="E5" s="164">
        <f ca="1">_xll.RiskHypergeo(O4,25,27,_xll.RiskStatic(O4),_xll.RiskName("Excavation Crew"))</f>
        <v>2</v>
      </c>
      <c r="F5" s="134" t="s">
        <v>161</v>
      </c>
      <c r="G5" s="116">
        <f ca="1">_xll.RiskOutput(,B5,1)+E5/C5</f>
        <v>0.2331100993700892</v>
      </c>
      <c r="H5" s="136">
        <f ca="1">_xll.RiskOutput(,B5,2)+C5</f>
        <v>8.5796368557364353</v>
      </c>
      <c r="I5" s="119">
        <f ca="1">_xll.RiskPercentile($C$5,0.1)</f>
        <v>8.5796368557364353</v>
      </c>
      <c r="J5" s="434">
        <f ca="1">_xll.RiskPercentile($C$5,0.45)</f>
        <v>8.5796368557364353</v>
      </c>
      <c r="K5" s="120">
        <f ca="1">_xll.RiskPercentile($C$5,0.9)</f>
        <v>8.5796368557364353</v>
      </c>
      <c r="M5" s="478" t="s">
        <v>98</v>
      </c>
      <c r="N5" s="475">
        <f>'NN-Predictions'!D13</f>
        <v>0.12440337995787429</v>
      </c>
      <c r="O5" s="486">
        <v>2</v>
      </c>
      <c r="P5" s="475">
        <f t="shared" ref="P5:P6" si="0">O5/N5</f>
        <v>16.076733611878101</v>
      </c>
    </row>
    <row r="6" spans="2:16" ht="21.75" thickBot="1" x14ac:dyDescent="0.4">
      <c r="B6" s="501" t="s">
        <v>199</v>
      </c>
      <c r="C6" s="502">
        <f>P4*0.98</f>
        <v>8.4080441186217065</v>
      </c>
      <c r="D6" s="503"/>
      <c r="E6" s="504">
        <v>1</v>
      </c>
      <c r="F6" s="505" t="s">
        <v>199</v>
      </c>
      <c r="G6" s="506"/>
      <c r="H6" s="507"/>
      <c r="I6" s="665" t="s">
        <v>162</v>
      </c>
      <c r="J6" s="666"/>
      <c r="K6" s="667"/>
      <c r="M6" s="478" t="s">
        <v>273</v>
      </c>
      <c r="N6" s="475">
        <f>'NN-Predictions'!D20</f>
        <v>0.66746416702673628</v>
      </c>
      <c r="O6" s="486">
        <v>3</v>
      </c>
      <c r="P6" s="475">
        <f t="shared" si="0"/>
        <v>4.4946233044444925</v>
      </c>
    </row>
    <row r="7" spans="2:16" ht="21.75" thickBot="1" x14ac:dyDescent="0.4">
      <c r="B7" s="125" t="s">
        <v>292</v>
      </c>
      <c r="C7" s="128">
        <f>P4</f>
        <v>8.5796368557364353</v>
      </c>
      <c r="D7" s="148"/>
      <c r="E7" s="156">
        <f>O4</f>
        <v>2</v>
      </c>
      <c r="F7" s="159" t="s">
        <v>292</v>
      </c>
      <c r="G7" s="149"/>
      <c r="H7" s="150"/>
      <c r="I7" s="118" t="s">
        <v>164</v>
      </c>
      <c r="J7" s="118" t="s">
        <v>165</v>
      </c>
      <c r="K7" s="118" t="s">
        <v>166</v>
      </c>
      <c r="M7" s="478" t="s">
        <v>310</v>
      </c>
      <c r="N7" s="533">
        <f ca="1">G23</f>
        <v>8</v>
      </c>
      <c r="O7" s="486">
        <v>3</v>
      </c>
      <c r="P7" s="533">
        <f ca="1">H23</f>
        <v>0.375</v>
      </c>
    </row>
    <row r="8" spans="2:16" ht="21.75" thickBot="1" x14ac:dyDescent="0.4">
      <c r="B8" s="488" t="s">
        <v>202</v>
      </c>
      <c r="C8" s="489">
        <f>P4*1.02</f>
        <v>8.7512295928511641</v>
      </c>
      <c r="D8" s="490"/>
      <c r="E8" s="491">
        <f>O4</f>
        <v>2</v>
      </c>
      <c r="F8" s="492" t="s">
        <v>202</v>
      </c>
      <c r="G8" s="493"/>
      <c r="H8" s="494"/>
      <c r="I8" s="173">
        <f ca="1">_xll.RiskPercentile($E$5,0.1)</f>
        <v>2</v>
      </c>
      <c r="J8" s="435">
        <f ca="1">_xll.RiskPercentile($E$5,0.45)</f>
        <v>2</v>
      </c>
      <c r="K8" s="173">
        <f ca="1">_xll.RiskPercentile($E$5,0.9)</f>
        <v>2</v>
      </c>
      <c r="M8" s="478" t="s">
        <v>99</v>
      </c>
      <c r="N8" s="475">
        <f>'NN-Predictions'!D27</f>
        <v>1.0265582930951014</v>
      </c>
      <c r="O8" s="486">
        <v>4</v>
      </c>
      <c r="P8" s="475">
        <f>O8/N8</f>
        <v>3.8965152070808275</v>
      </c>
    </row>
    <row r="9" spans="2:16" ht="21.75" thickBot="1" x14ac:dyDescent="0.4">
      <c r="B9" s="668"/>
      <c r="C9" s="669"/>
      <c r="D9" s="669"/>
      <c r="E9" s="669"/>
      <c r="F9" s="669"/>
      <c r="G9" s="669"/>
      <c r="H9" s="670"/>
      <c r="I9" s="666" t="s">
        <v>45</v>
      </c>
      <c r="J9" s="666"/>
      <c r="K9" s="667"/>
      <c r="M9" s="479" t="s">
        <v>92</v>
      </c>
      <c r="N9" s="476">
        <f>'NN-Predictions'!D32</f>
        <v>0.15478727990594754</v>
      </c>
      <c r="O9" s="487">
        <v>2</v>
      </c>
      <c r="P9" s="476">
        <f>O9/N9</f>
        <v>12.920958370838017</v>
      </c>
    </row>
    <row r="10" spans="2:16" ht="21" thickBot="1" x14ac:dyDescent="0.35">
      <c r="B10" s="671"/>
      <c r="C10" s="672"/>
      <c r="D10" s="672"/>
      <c r="E10" s="672"/>
      <c r="F10" s="672"/>
      <c r="G10" s="672"/>
      <c r="H10" s="673"/>
      <c r="I10" s="118" t="s">
        <v>164</v>
      </c>
      <c r="J10" s="118" t="s">
        <v>165</v>
      </c>
      <c r="K10" s="118" t="s">
        <v>166</v>
      </c>
    </row>
    <row r="11" spans="2:16" ht="24" thickBot="1" x14ac:dyDescent="0.4">
      <c r="B11" s="174" t="s">
        <v>156</v>
      </c>
      <c r="C11" s="139">
        <f ca="1">_xll.RiskPert(C12,C13,C14,_xll.RiskStatic(P5))</f>
        <v>16.076733611878101</v>
      </c>
      <c r="D11" s="122" t="s">
        <v>104</v>
      </c>
      <c r="E11" s="165">
        <f ca="1">_xll.RiskHypergeo(O5,25,27,_xll.RiskStatic(O5),_xll.RiskName("Blinding Crew"))</f>
        <v>2</v>
      </c>
      <c r="F11" s="131" t="s">
        <v>43</v>
      </c>
      <c r="G11" s="123">
        <f ca="1">_xll.RiskOutput(,B11,1)+E11/C11</f>
        <v>0.12440337995787429</v>
      </c>
      <c r="H11" s="137">
        <f ca="1">_xll.RiskOutput(,B11,2)+C11</f>
        <v>16.076733611878101</v>
      </c>
      <c r="I11" s="119">
        <f ca="1">_xll.RiskPercentile(C11,0.1)</f>
        <v>16.076733611878101</v>
      </c>
      <c r="J11" s="434">
        <f ca="1">_xll.RiskPercentile(C11,0.45)</f>
        <v>16.076733611878101</v>
      </c>
      <c r="K11" s="120">
        <f ca="1">_xll.RiskPercentile(C11,0.9)</f>
        <v>16.076733611878101</v>
      </c>
    </row>
    <row r="12" spans="2:16" ht="21" thickBot="1" x14ac:dyDescent="0.35">
      <c r="B12" s="508" t="s">
        <v>199</v>
      </c>
      <c r="C12" s="503">
        <f>P5*0.98</f>
        <v>15.755198939640538</v>
      </c>
      <c r="D12" s="503"/>
      <c r="E12" s="504">
        <v>1</v>
      </c>
      <c r="F12" s="509" t="s">
        <v>199</v>
      </c>
      <c r="G12" s="506"/>
      <c r="H12" s="507"/>
      <c r="I12" s="665" t="s">
        <v>162</v>
      </c>
      <c r="J12" s="666"/>
      <c r="K12" s="667"/>
    </row>
    <row r="13" spans="2:16" ht="21" thickBot="1" x14ac:dyDescent="0.35">
      <c r="B13" s="153" t="s">
        <v>292</v>
      </c>
      <c r="C13" s="148">
        <f>P5</f>
        <v>16.076733611878101</v>
      </c>
      <c r="D13" s="148"/>
      <c r="E13" s="156">
        <f>O5</f>
        <v>2</v>
      </c>
      <c r="F13" s="162" t="s">
        <v>292</v>
      </c>
      <c r="G13" s="149"/>
      <c r="H13" s="150"/>
      <c r="I13" s="118" t="s">
        <v>164</v>
      </c>
      <c r="J13" s="118" t="s">
        <v>165</v>
      </c>
      <c r="K13" s="118" t="s">
        <v>166</v>
      </c>
    </row>
    <row r="14" spans="2:16" ht="21" thickBot="1" x14ac:dyDescent="0.35">
      <c r="B14" s="495" t="s">
        <v>202</v>
      </c>
      <c r="C14" s="496">
        <f>P5*1.02</f>
        <v>16.398268284115662</v>
      </c>
      <c r="D14" s="496"/>
      <c r="E14" s="497">
        <f>O5</f>
        <v>2</v>
      </c>
      <c r="F14" s="498" t="s">
        <v>202</v>
      </c>
      <c r="G14" s="499"/>
      <c r="H14" s="500"/>
      <c r="I14" s="173">
        <f ca="1">_xll.RiskPercentile(E11,0.1)</f>
        <v>2</v>
      </c>
      <c r="J14" s="435">
        <f ca="1">_xll.RiskPercentile(E11,0.45)</f>
        <v>2</v>
      </c>
      <c r="K14" s="173">
        <f ca="1">_xll.RiskPercentile(E11,0.9)</f>
        <v>2</v>
      </c>
    </row>
    <row r="15" spans="2:16" ht="21" thickBot="1" x14ac:dyDescent="0.3">
      <c r="B15" s="668"/>
      <c r="C15" s="669"/>
      <c r="D15" s="669"/>
      <c r="E15" s="669"/>
      <c r="F15" s="669"/>
      <c r="G15" s="669"/>
      <c r="H15" s="670"/>
      <c r="I15" s="666" t="s">
        <v>45</v>
      </c>
      <c r="J15" s="666"/>
      <c r="K15" s="667"/>
    </row>
    <row r="16" spans="2:16" ht="21" thickBot="1" x14ac:dyDescent="0.35">
      <c r="B16" s="671"/>
      <c r="C16" s="672"/>
      <c r="D16" s="672"/>
      <c r="E16" s="672"/>
      <c r="F16" s="672"/>
      <c r="G16" s="672"/>
      <c r="H16" s="673"/>
      <c r="I16" s="118" t="s">
        <v>164</v>
      </c>
      <c r="J16" s="118" t="s">
        <v>165</v>
      </c>
      <c r="K16" s="118" t="s">
        <v>166</v>
      </c>
    </row>
    <row r="17" spans="2:11" ht="24" thickBot="1" x14ac:dyDescent="0.4">
      <c r="B17" s="126" t="s">
        <v>157</v>
      </c>
      <c r="C17" s="139">
        <f ca="1">_xll.RiskPert(C18,C19,C20,_xll.RiskStatic(P6))</f>
        <v>4.4946233044444925</v>
      </c>
      <c r="D17" s="122" t="s">
        <v>105</v>
      </c>
      <c r="E17" s="165">
        <f ca="1">_xll.RiskHypergeo(O6,25,27,_xll.RiskStatic(O6),_xll.RiskName("Reinforced concrete Crew"))</f>
        <v>3</v>
      </c>
      <c r="F17" s="135" t="s">
        <v>44</v>
      </c>
      <c r="G17" s="123">
        <f ca="1">_xll.RiskOutput(,B17,1)+E17/C17</f>
        <v>0.66746416702673628</v>
      </c>
      <c r="H17" s="137">
        <f ca="1">_xll.RiskOutput(,B17,2)+C17</f>
        <v>4.4946233044444925</v>
      </c>
      <c r="I17" s="119">
        <f ca="1">_xll.RiskPercentile(C17,0.1)</f>
        <v>4.4946233044444925</v>
      </c>
      <c r="J17" s="434">
        <f ca="1">_xll.RiskPercentile(C17,0.45)</f>
        <v>4.4946233044444925</v>
      </c>
      <c r="K17" s="120">
        <f ca="1">_xll.RiskPercentile(C17,0.9)</f>
        <v>4.4946233044444925</v>
      </c>
    </row>
    <row r="18" spans="2:11" ht="21" thickBot="1" x14ac:dyDescent="0.35">
      <c r="B18" s="140" t="s">
        <v>199</v>
      </c>
      <c r="C18" s="141">
        <f>P6*0.98</f>
        <v>4.4047308383556025</v>
      </c>
      <c r="D18" s="141"/>
      <c r="E18" s="155">
        <v>1</v>
      </c>
      <c r="F18" s="158" t="s">
        <v>199</v>
      </c>
      <c r="G18" s="142"/>
      <c r="H18" s="143"/>
      <c r="I18" s="665" t="s">
        <v>162</v>
      </c>
      <c r="J18" s="666"/>
      <c r="K18" s="667"/>
    </row>
    <row r="19" spans="2:11" ht="21" thickBot="1" x14ac:dyDescent="0.35">
      <c r="B19" s="125" t="s">
        <v>292</v>
      </c>
      <c r="C19" s="148">
        <f>P6</f>
        <v>4.4946233044444925</v>
      </c>
      <c r="D19" s="148"/>
      <c r="E19" s="156">
        <f>O6</f>
        <v>3</v>
      </c>
      <c r="F19" s="159" t="s">
        <v>292</v>
      </c>
      <c r="G19" s="149"/>
      <c r="H19" s="150"/>
      <c r="I19" s="118" t="s">
        <v>164</v>
      </c>
      <c r="J19" s="118" t="s">
        <v>165</v>
      </c>
      <c r="K19" s="118" t="s">
        <v>166</v>
      </c>
    </row>
    <row r="20" spans="2:11" ht="21" thickBot="1" x14ac:dyDescent="0.35">
      <c r="B20" s="144" t="s">
        <v>202</v>
      </c>
      <c r="C20" s="169">
        <f>P6*1.02</f>
        <v>4.5845157705333826</v>
      </c>
      <c r="D20" s="169"/>
      <c r="E20" s="170">
        <f>O6</f>
        <v>3</v>
      </c>
      <c r="F20" s="160" t="s">
        <v>202</v>
      </c>
      <c r="G20" s="171"/>
      <c r="H20" s="172"/>
      <c r="I20" s="173">
        <f ca="1">_xll.RiskPercentile(E17,0.1)</f>
        <v>3</v>
      </c>
      <c r="J20" s="435">
        <f ca="1">_xll.RiskPercentile(E17,0.45)</f>
        <v>3</v>
      </c>
      <c r="K20" s="173">
        <f ca="1">_xll.RiskPercentile(E17,0.9)</f>
        <v>3</v>
      </c>
    </row>
    <row r="21" spans="2:11" ht="21" thickBot="1" x14ac:dyDescent="0.3">
      <c r="B21" s="674"/>
      <c r="C21" s="675"/>
      <c r="D21" s="675"/>
      <c r="E21" s="675"/>
      <c r="F21" s="675"/>
      <c r="G21" s="675"/>
      <c r="H21" s="676"/>
      <c r="I21" s="666" t="s">
        <v>45</v>
      </c>
      <c r="J21" s="666"/>
      <c r="K21" s="667"/>
    </row>
    <row r="22" spans="2:11" ht="21" thickBot="1" x14ac:dyDescent="0.35">
      <c r="B22" s="677"/>
      <c r="C22" s="678"/>
      <c r="D22" s="678"/>
      <c r="E22" s="678"/>
      <c r="F22" s="678"/>
      <c r="G22" s="678"/>
      <c r="H22" s="679"/>
      <c r="I22" s="118" t="s">
        <v>164</v>
      </c>
      <c r="J22" s="118" t="s">
        <v>165</v>
      </c>
      <c r="K22" s="118" t="s">
        <v>166</v>
      </c>
    </row>
    <row r="23" spans="2:11" ht="24" thickBot="1" x14ac:dyDescent="0.4">
      <c r="B23" s="532" t="s">
        <v>158</v>
      </c>
      <c r="C23" s="138">
        <f ca="1">_xll.RiskPert(C24,C25,C26,_xll.RiskStatic(8))</f>
        <v>8</v>
      </c>
      <c r="D23" s="115" t="s">
        <v>106</v>
      </c>
      <c r="E23" s="164">
        <f ca="1">_xll.RiskHypergeo(O7,25,27,_xll.RiskStatic(O7),_xll.RiskName("Prefabricated Columns Crew"))</f>
        <v>3</v>
      </c>
      <c r="F23" s="130" t="s">
        <v>44</v>
      </c>
      <c r="G23" s="116">
        <f ca="1">_xll.RiskOutput(,B23,7)+C23</f>
        <v>8</v>
      </c>
      <c r="H23" s="136">
        <f ca="1">_xll.RiskOutput(,B23,8)+E23/C23</f>
        <v>0.375</v>
      </c>
      <c r="I23" s="119">
        <f ca="1">_xll.RiskPercentile(C23,0.1)</f>
        <v>8</v>
      </c>
      <c r="J23" s="434">
        <f ca="1">_xll.RiskPercentile(C23,0.45)</f>
        <v>8</v>
      </c>
      <c r="K23" s="120">
        <f ca="1">_xll.RiskPercentile(C23,0.9)</f>
        <v>8</v>
      </c>
    </row>
    <row r="24" spans="2:11" ht="21" thickBot="1" x14ac:dyDescent="0.35">
      <c r="B24" s="152" t="s">
        <v>199</v>
      </c>
      <c r="C24" s="141">
        <v>6</v>
      </c>
      <c r="D24" s="141"/>
      <c r="E24" s="155">
        <v>1</v>
      </c>
      <c r="F24" s="161" t="s">
        <v>199</v>
      </c>
      <c r="G24" s="142"/>
      <c r="H24" s="143"/>
      <c r="I24" s="665" t="s">
        <v>162</v>
      </c>
      <c r="J24" s="666"/>
      <c r="K24" s="667"/>
    </row>
    <row r="25" spans="2:11" ht="21" thickBot="1" x14ac:dyDescent="0.35">
      <c r="B25" s="153" t="s">
        <v>292</v>
      </c>
      <c r="C25" s="148">
        <v>8</v>
      </c>
      <c r="D25" s="148"/>
      <c r="E25" s="156">
        <f>O7</f>
        <v>3</v>
      </c>
      <c r="F25" s="162" t="s">
        <v>292</v>
      </c>
      <c r="G25" s="149"/>
      <c r="H25" s="150"/>
      <c r="I25" s="118" t="s">
        <v>164</v>
      </c>
      <c r="J25" s="118" t="s">
        <v>165</v>
      </c>
      <c r="K25" s="118" t="s">
        <v>166</v>
      </c>
    </row>
    <row r="26" spans="2:11" ht="21" thickBot="1" x14ac:dyDescent="0.35">
      <c r="B26" s="154" t="s">
        <v>202</v>
      </c>
      <c r="C26" s="145">
        <v>10</v>
      </c>
      <c r="D26" s="145"/>
      <c r="E26" s="157">
        <f>O7</f>
        <v>3</v>
      </c>
      <c r="F26" s="163" t="s">
        <v>202</v>
      </c>
      <c r="G26" s="146"/>
      <c r="H26" s="147"/>
      <c r="I26" s="173">
        <f ca="1">_xll.RiskPercentile(E23,0.1)</f>
        <v>3</v>
      </c>
      <c r="J26" s="435">
        <f ca="1">_xll.RiskPercentile(E23,0.45)</f>
        <v>3</v>
      </c>
      <c r="K26" s="173">
        <f ca="1">_xll.RiskPercentile(E23,0.9)</f>
        <v>3</v>
      </c>
    </row>
    <row r="27" spans="2:11" ht="21" thickBot="1" x14ac:dyDescent="0.3">
      <c r="B27" s="668"/>
      <c r="C27" s="669"/>
      <c r="D27" s="669"/>
      <c r="E27" s="669"/>
      <c r="F27" s="669"/>
      <c r="G27" s="669"/>
      <c r="H27" s="670"/>
      <c r="I27" s="666" t="s">
        <v>45</v>
      </c>
      <c r="J27" s="666"/>
      <c r="K27" s="667"/>
    </row>
    <row r="28" spans="2:11" ht="21" thickBot="1" x14ac:dyDescent="0.35">
      <c r="B28" s="671"/>
      <c r="C28" s="672"/>
      <c r="D28" s="672"/>
      <c r="E28" s="672"/>
      <c r="F28" s="672"/>
      <c r="G28" s="672"/>
      <c r="H28" s="673"/>
      <c r="I28" s="118" t="s">
        <v>164</v>
      </c>
      <c r="J28" s="118" t="s">
        <v>165</v>
      </c>
      <c r="K28" s="118" t="s">
        <v>166</v>
      </c>
    </row>
    <row r="29" spans="2:11" ht="24" thickBot="1" x14ac:dyDescent="0.4">
      <c r="B29" s="126" t="s">
        <v>159</v>
      </c>
      <c r="C29" s="139">
        <f>N8</f>
        <v>1.0265582930951014</v>
      </c>
      <c r="D29" s="122" t="s">
        <v>107</v>
      </c>
      <c r="E29" s="165">
        <f ca="1">_xll.RiskHypergeo(O8,25,27,_xll.RiskStatic(O8),_xll.RiskName("Brick masonry Crew"))</f>
        <v>4</v>
      </c>
      <c r="F29" s="135" t="s">
        <v>44</v>
      </c>
      <c r="G29" s="123">
        <f>_xll.RiskOutput(,B29,9)+C29</f>
        <v>1.0265582930951014</v>
      </c>
      <c r="H29" s="137">
        <f ca="1">_xll.RiskOutput(,B29,10)+E29/C29</f>
        <v>3.8965152070808275</v>
      </c>
      <c r="I29" s="119">
        <f ca="1">_xll.RiskPercentile(C29,0.1)</f>
        <v>1.0265582930951014</v>
      </c>
      <c r="J29" s="434">
        <f ca="1">_xll.RiskPercentile(C29,0.45)</f>
        <v>1.0265582930951014</v>
      </c>
      <c r="K29" s="120">
        <f ca="1">_xll.RiskPercentile(C29,0.9)</f>
        <v>1.0265582930951014</v>
      </c>
    </row>
    <row r="30" spans="2:11" ht="21" thickBot="1" x14ac:dyDescent="0.35">
      <c r="B30" s="140" t="s">
        <v>199</v>
      </c>
      <c r="C30" s="141">
        <f>N8*0.98</f>
        <v>1.0060271272331993</v>
      </c>
      <c r="D30" s="141"/>
      <c r="E30" s="155">
        <v>1</v>
      </c>
      <c r="F30" s="158" t="s">
        <v>199</v>
      </c>
      <c r="G30" s="142"/>
      <c r="H30" s="143"/>
      <c r="I30" s="665" t="s">
        <v>162</v>
      </c>
      <c r="J30" s="666"/>
      <c r="K30" s="667"/>
    </row>
    <row r="31" spans="2:11" ht="21" thickBot="1" x14ac:dyDescent="0.35">
      <c r="B31" s="125" t="s">
        <v>292</v>
      </c>
      <c r="C31" s="148">
        <f>N8</f>
        <v>1.0265582930951014</v>
      </c>
      <c r="D31" s="148"/>
      <c r="E31" s="156">
        <f>O8</f>
        <v>4</v>
      </c>
      <c r="F31" s="159" t="s">
        <v>292</v>
      </c>
      <c r="G31" s="149"/>
      <c r="H31" s="150"/>
      <c r="I31" s="118" t="s">
        <v>164</v>
      </c>
      <c r="J31" s="118" t="s">
        <v>165</v>
      </c>
      <c r="K31" s="118" t="s">
        <v>166</v>
      </c>
    </row>
    <row r="32" spans="2:11" ht="21" thickBot="1" x14ac:dyDescent="0.35">
      <c r="B32" s="144" t="s">
        <v>202</v>
      </c>
      <c r="C32" s="169">
        <f>N8*1.02</f>
        <v>1.0470894589570034</v>
      </c>
      <c r="D32" s="169"/>
      <c r="E32" s="170">
        <f>O8</f>
        <v>4</v>
      </c>
      <c r="F32" s="160" t="s">
        <v>202</v>
      </c>
      <c r="G32" s="171"/>
      <c r="H32" s="172"/>
      <c r="I32" s="173">
        <f ca="1">_xll.RiskPercentile(E29,0.1)</f>
        <v>4</v>
      </c>
      <c r="J32" s="435">
        <f ca="1">_xll.RiskPercentile(E29,0.45)</f>
        <v>4</v>
      </c>
      <c r="K32" s="173">
        <f ca="1">_xll.RiskPercentile(E29,0.9)</f>
        <v>4</v>
      </c>
    </row>
    <row r="33" spans="2:11" ht="21" thickBot="1" x14ac:dyDescent="0.3">
      <c r="B33" s="668"/>
      <c r="C33" s="669"/>
      <c r="D33" s="669"/>
      <c r="E33" s="669"/>
      <c r="F33" s="669"/>
      <c r="G33" s="669"/>
      <c r="H33" s="670"/>
      <c r="I33" s="666" t="s">
        <v>45</v>
      </c>
      <c r="J33" s="666"/>
      <c r="K33" s="667"/>
    </row>
    <row r="34" spans="2:11" ht="21" thickBot="1" x14ac:dyDescent="0.35">
      <c r="B34" s="671"/>
      <c r="C34" s="672"/>
      <c r="D34" s="672"/>
      <c r="E34" s="672"/>
      <c r="F34" s="672"/>
      <c r="G34" s="672"/>
      <c r="H34" s="673"/>
      <c r="I34" s="118" t="s">
        <v>164</v>
      </c>
      <c r="J34" s="118" t="s">
        <v>165</v>
      </c>
      <c r="K34" s="118" t="s">
        <v>166</v>
      </c>
    </row>
    <row r="35" spans="2:11" ht="24" thickBot="1" x14ac:dyDescent="0.4">
      <c r="B35" s="151" t="s">
        <v>160</v>
      </c>
      <c r="C35" s="138">
        <f ca="1">_xll.RiskPert(C36,C37,C38,_xll.RiskStatic(P9))</f>
        <v>12.920958370838017</v>
      </c>
      <c r="D35" s="115" t="s">
        <v>103</v>
      </c>
      <c r="E35" s="164">
        <f ca="1">_xll.RiskHypergeo(O9,25,27,_xll.RiskStatic(O9),_xll.RiskName("Backfill Crew"))</f>
        <v>2</v>
      </c>
      <c r="F35" s="130" t="s">
        <v>43</v>
      </c>
      <c r="G35" s="116">
        <f ca="1">_xll.RiskOutput(,B35,11)+E35/C35</f>
        <v>0.15478727990594754</v>
      </c>
      <c r="H35" s="136">
        <f ca="1">_xll.RiskOutput(,B35,12)+C35</f>
        <v>12.920958370838017</v>
      </c>
      <c r="I35" s="119">
        <f ca="1">_xll.RiskPercentile(C35,0.1)</f>
        <v>12.920958370838017</v>
      </c>
      <c r="J35" s="434">
        <f ca="1">_xll.RiskPercentile(C35,0.45)</f>
        <v>12.920958370838017</v>
      </c>
      <c r="K35" s="120">
        <f ca="1">_xll.RiskPercentile(C35,0.9)</f>
        <v>12.920958370838017</v>
      </c>
    </row>
    <row r="36" spans="2:11" ht="21" thickBot="1" x14ac:dyDescent="0.35">
      <c r="B36" s="508" t="s">
        <v>199</v>
      </c>
      <c r="C36" s="503">
        <f>P9*0.98</f>
        <v>12.662539203421256</v>
      </c>
      <c r="D36" s="503"/>
      <c r="E36" s="504">
        <v>1</v>
      </c>
      <c r="F36" s="509" t="s">
        <v>199</v>
      </c>
      <c r="G36" s="506"/>
      <c r="H36" s="507"/>
      <c r="I36" s="665" t="s">
        <v>162</v>
      </c>
      <c r="J36" s="666"/>
      <c r="K36" s="667"/>
    </row>
    <row r="37" spans="2:11" ht="21" thickBot="1" x14ac:dyDescent="0.35">
      <c r="B37" s="153" t="s">
        <v>292</v>
      </c>
      <c r="C37" s="148">
        <f>P9</f>
        <v>12.920958370838017</v>
      </c>
      <c r="D37" s="148"/>
      <c r="E37" s="156">
        <v>2</v>
      </c>
      <c r="F37" s="162" t="s">
        <v>292</v>
      </c>
      <c r="G37" s="149"/>
      <c r="H37" s="150"/>
      <c r="I37" s="118" t="s">
        <v>164</v>
      </c>
      <c r="J37" s="118" t="s">
        <v>165</v>
      </c>
      <c r="K37" s="118" t="s">
        <v>166</v>
      </c>
    </row>
    <row r="38" spans="2:11" ht="21" thickBot="1" x14ac:dyDescent="0.35">
      <c r="B38" s="495" t="s">
        <v>202</v>
      </c>
      <c r="C38" s="496">
        <f>P9*1.02</f>
        <v>13.179377538254778</v>
      </c>
      <c r="D38" s="496"/>
      <c r="E38" s="497">
        <f>O9</f>
        <v>2</v>
      </c>
      <c r="F38" s="498" t="s">
        <v>202</v>
      </c>
      <c r="G38" s="499"/>
      <c r="H38" s="500"/>
      <c r="I38" s="166">
        <f ca="1">_xll.RiskPercentile(E35,0.1)</f>
        <v>2</v>
      </c>
      <c r="J38" s="436">
        <f ca="1">_xll.RiskPercentile(E35,0.45)</f>
        <v>2</v>
      </c>
      <c r="K38" s="166">
        <f ca="1">_xll.RiskPercentile(E35,0.9)</f>
        <v>2</v>
      </c>
    </row>
  </sheetData>
  <mergeCells count="23">
    <mergeCell ref="M2:P2"/>
    <mergeCell ref="I33:K33"/>
    <mergeCell ref="B3:B4"/>
    <mergeCell ref="C3:F3"/>
    <mergeCell ref="G3:H3"/>
    <mergeCell ref="I2:K2"/>
    <mergeCell ref="I3:K3"/>
    <mergeCell ref="B2:F2"/>
    <mergeCell ref="I36:K36"/>
    <mergeCell ref="I6:K6"/>
    <mergeCell ref="B9:H10"/>
    <mergeCell ref="I24:K24"/>
    <mergeCell ref="I18:K18"/>
    <mergeCell ref="I12:K12"/>
    <mergeCell ref="I9:K9"/>
    <mergeCell ref="B15:H16"/>
    <mergeCell ref="I15:K15"/>
    <mergeCell ref="B21:H22"/>
    <mergeCell ref="B27:H28"/>
    <mergeCell ref="B33:H34"/>
    <mergeCell ref="I21:K21"/>
    <mergeCell ref="I27:K27"/>
    <mergeCell ref="I30:K30"/>
  </mergeCells>
  <pageMargins left="0.7" right="0.7" top="0.78740157499999996" bottom="0.78740157499999996" header="0.3" footer="0.3"/>
  <pageSetup paperSize="9" orientation="portrait" r:id="rId1"/>
  <ignoredErrors>
    <ignoredError sqref="P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5"/>
  <sheetViews>
    <sheetView zoomScaleNormal="100" workbookViewId="0">
      <selection activeCell="B2" sqref="B2:B4"/>
    </sheetView>
  </sheetViews>
  <sheetFormatPr baseColWidth="10" defaultRowHeight="15" x14ac:dyDescent="0.25"/>
  <cols>
    <col min="1" max="1" width="2.5703125" customWidth="1"/>
    <col min="2" max="2" width="25.5703125" customWidth="1"/>
    <col min="5" max="5" width="4.7109375" customWidth="1"/>
  </cols>
  <sheetData>
    <row r="1" spans="2:7" ht="15.75" thickBot="1" x14ac:dyDescent="0.3"/>
    <row r="2" spans="2:7" ht="16.5" thickBot="1" x14ac:dyDescent="0.3">
      <c r="B2" s="691" t="s">
        <v>285</v>
      </c>
      <c r="C2" s="462" t="s">
        <v>281</v>
      </c>
      <c r="D2" s="463" t="s">
        <v>276</v>
      </c>
      <c r="E2" s="458"/>
      <c r="F2" s="459" t="s">
        <v>277</v>
      </c>
      <c r="G2" s="459" t="s">
        <v>278</v>
      </c>
    </row>
    <row r="3" spans="2:7" ht="16.5" thickBot="1" x14ac:dyDescent="0.3">
      <c r="B3" s="692"/>
      <c r="C3" s="464" t="s">
        <v>279</v>
      </c>
      <c r="D3" s="484">
        <v>0.23311009937008917</v>
      </c>
      <c r="E3" s="458"/>
      <c r="F3" s="480">
        <v>0.23166000000000003</v>
      </c>
      <c r="G3" s="481">
        <v>6.2596018738199088E-3</v>
      </c>
    </row>
    <row r="4" spans="2:7" ht="15.75" thickBot="1" x14ac:dyDescent="0.3">
      <c r="B4" s="693"/>
      <c r="C4" s="466" t="s">
        <v>279</v>
      </c>
      <c r="D4" s="467">
        <v>0.320704908203991</v>
      </c>
      <c r="E4" s="458"/>
      <c r="F4" s="460">
        <v>0.32416199999999995</v>
      </c>
      <c r="G4" s="461">
        <v>-1.0664704055407315E-2</v>
      </c>
    </row>
    <row r="5" spans="2:7" ht="16.5" thickBot="1" x14ac:dyDescent="0.3">
      <c r="B5" s="691" t="s">
        <v>286</v>
      </c>
      <c r="C5" s="462" t="s">
        <v>281</v>
      </c>
      <c r="D5" s="463" t="s">
        <v>276</v>
      </c>
      <c r="E5" s="458"/>
      <c r="F5" s="459" t="s">
        <v>277</v>
      </c>
      <c r="G5" s="459" t="s">
        <v>278</v>
      </c>
    </row>
    <row r="6" spans="2:7" ht="15.75" thickBot="1" x14ac:dyDescent="0.3">
      <c r="B6" s="692"/>
      <c r="C6" s="464" t="s">
        <v>279</v>
      </c>
      <c r="D6" s="468">
        <v>0.2986253902647994</v>
      </c>
      <c r="E6" s="458"/>
      <c r="F6" s="460">
        <v>0.23166000000000003</v>
      </c>
      <c r="G6" s="461">
        <v>0.28906755704394094</v>
      </c>
    </row>
    <row r="7" spans="2:7" ht="15.75" thickBot="1" x14ac:dyDescent="0.3">
      <c r="B7" s="693"/>
      <c r="C7" s="465" t="s">
        <v>279</v>
      </c>
      <c r="D7" s="470">
        <v>0.30593464158666106</v>
      </c>
      <c r="E7" s="458"/>
      <c r="F7" s="460">
        <v>0.32416199999999995</v>
      </c>
      <c r="G7" s="461">
        <v>-5.6229164471279458E-2</v>
      </c>
    </row>
    <row r="8" spans="2:7" ht="15.75" thickBot="1" x14ac:dyDescent="0.3"/>
    <row r="9" spans="2:7" ht="16.5" thickBot="1" x14ac:dyDescent="0.3">
      <c r="B9" s="691" t="s">
        <v>283</v>
      </c>
      <c r="C9" s="462" t="s">
        <v>281</v>
      </c>
      <c r="D9" s="463" t="s">
        <v>276</v>
      </c>
      <c r="E9" s="458"/>
      <c r="F9" s="459" t="s">
        <v>277</v>
      </c>
      <c r="G9" s="459" t="s">
        <v>278</v>
      </c>
    </row>
    <row r="10" spans="2:7" ht="15.75" thickBot="1" x14ac:dyDescent="0.3">
      <c r="B10" s="692"/>
      <c r="C10" s="464" t="s">
        <v>279</v>
      </c>
      <c r="D10" s="468">
        <v>0.12427751406438203</v>
      </c>
      <c r="E10" s="458"/>
      <c r="F10" s="460">
        <v>0.12393</v>
      </c>
      <c r="G10" s="461">
        <v>2.8041157458407184E-3</v>
      </c>
    </row>
    <row r="11" spans="2:7" ht="15.75" thickBot="1" x14ac:dyDescent="0.3">
      <c r="B11" s="693"/>
      <c r="C11" s="466" t="s">
        <v>279</v>
      </c>
      <c r="D11" s="469">
        <v>9.8941992694951214E-2</v>
      </c>
      <c r="E11" s="458"/>
      <c r="F11" s="460">
        <v>9.7920000000000021E-2</v>
      </c>
      <c r="G11" s="461">
        <v>1.0437016901053919E-2</v>
      </c>
    </row>
    <row r="12" spans="2:7" ht="16.5" thickBot="1" x14ac:dyDescent="0.3">
      <c r="B12" s="688" t="s">
        <v>284</v>
      </c>
      <c r="C12" s="462" t="s">
        <v>281</v>
      </c>
      <c r="D12" s="463" t="s">
        <v>276</v>
      </c>
      <c r="E12" s="458"/>
      <c r="F12" s="459" t="s">
        <v>277</v>
      </c>
      <c r="G12" s="459" t="s">
        <v>278</v>
      </c>
    </row>
    <row r="13" spans="2:7" ht="16.5" thickBot="1" x14ac:dyDescent="0.3">
      <c r="B13" s="689"/>
      <c r="C13" s="464" t="s">
        <v>279</v>
      </c>
      <c r="D13" s="483">
        <v>0.12440337995787429</v>
      </c>
      <c r="E13" s="458"/>
      <c r="F13" s="480">
        <v>0.12393</v>
      </c>
      <c r="G13" s="481">
        <v>3.8197366083618789E-3</v>
      </c>
    </row>
    <row r="14" spans="2:7" ht="15.75" thickBot="1" x14ac:dyDescent="0.3">
      <c r="B14" s="690"/>
      <c r="C14" s="465" t="s">
        <v>279</v>
      </c>
      <c r="D14" s="470">
        <v>9.795803952273531E-2</v>
      </c>
      <c r="E14" s="458"/>
      <c r="F14" s="460">
        <v>9.7920000000000021E-2</v>
      </c>
      <c r="G14" s="461">
        <v>3.8847551813003811E-4</v>
      </c>
    </row>
    <row r="15" spans="2:7" ht="15.75" thickBot="1" x14ac:dyDescent="0.3"/>
    <row r="16" spans="2:7" ht="16.5" thickBot="1" x14ac:dyDescent="0.3">
      <c r="B16" s="691" t="s">
        <v>289</v>
      </c>
      <c r="C16" s="462" t="s">
        <v>281</v>
      </c>
      <c r="D16" s="463" t="s">
        <v>276</v>
      </c>
      <c r="E16" s="458"/>
      <c r="F16" s="459" t="s">
        <v>277</v>
      </c>
      <c r="G16" s="459" t="s">
        <v>278</v>
      </c>
    </row>
    <row r="17" spans="2:7" ht="15.75" thickBot="1" x14ac:dyDescent="0.3">
      <c r="B17" s="692"/>
      <c r="C17" s="464" t="s">
        <v>279</v>
      </c>
      <c r="D17" s="468">
        <v>0.66780521149470928</v>
      </c>
      <c r="E17" s="458"/>
      <c r="F17" s="460">
        <v>0.66825000000000012</v>
      </c>
      <c r="G17" s="461">
        <v>-6.6560195329712357E-4</v>
      </c>
    </row>
    <row r="18" spans="2:7" ht="15.75" thickBot="1" x14ac:dyDescent="0.3">
      <c r="B18" s="693"/>
      <c r="C18" s="466" t="s">
        <v>279</v>
      </c>
      <c r="D18" s="469">
        <v>1.5901143771051238</v>
      </c>
      <c r="E18" s="458"/>
      <c r="F18" s="460">
        <v>1.59</v>
      </c>
      <c r="G18" s="461">
        <v>7.1935286241275875E-5</v>
      </c>
    </row>
    <row r="19" spans="2:7" ht="16.5" thickBot="1" x14ac:dyDescent="0.3">
      <c r="B19" s="691" t="s">
        <v>290</v>
      </c>
      <c r="C19" s="462" t="s">
        <v>281</v>
      </c>
      <c r="D19" s="463" t="s">
        <v>276</v>
      </c>
      <c r="E19" s="458"/>
      <c r="F19" s="459" t="s">
        <v>277</v>
      </c>
      <c r="G19" s="459" t="s">
        <v>278</v>
      </c>
    </row>
    <row r="20" spans="2:7" ht="16.5" thickBot="1" x14ac:dyDescent="0.3">
      <c r="B20" s="692"/>
      <c r="C20" s="464" t="s">
        <v>279</v>
      </c>
      <c r="D20" s="483">
        <v>0.66746416702673628</v>
      </c>
      <c r="E20" s="458"/>
      <c r="F20" s="480">
        <v>0.66825000000000012</v>
      </c>
      <c r="G20" s="481">
        <v>-1.1759565630584667E-3</v>
      </c>
    </row>
    <row r="21" spans="2:7" ht="15.75" thickBot="1" x14ac:dyDescent="0.3">
      <c r="B21" s="693"/>
      <c r="C21" s="465" t="s">
        <v>279</v>
      </c>
      <c r="D21" s="470">
        <v>1.5638349699616261</v>
      </c>
      <c r="E21" s="458"/>
      <c r="F21" s="471">
        <v>1.59</v>
      </c>
      <c r="G21" s="461">
        <v>-1.6455993734826424E-2</v>
      </c>
    </row>
    <row r="22" spans="2:7" ht="15.75" thickBot="1" x14ac:dyDescent="0.3"/>
    <row r="23" spans="2:7" ht="16.5" thickBot="1" x14ac:dyDescent="0.3">
      <c r="B23" s="691" t="s">
        <v>287</v>
      </c>
      <c r="C23" s="462" t="s">
        <v>281</v>
      </c>
      <c r="D23" s="463" t="s">
        <v>276</v>
      </c>
      <c r="E23" s="458"/>
      <c r="F23" s="459" t="s">
        <v>277</v>
      </c>
      <c r="G23" s="459" t="s">
        <v>278</v>
      </c>
    </row>
    <row r="24" spans="2:7" ht="15.75" thickBot="1" x14ac:dyDescent="0.3">
      <c r="B24" s="692"/>
      <c r="C24" s="464" t="s">
        <v>279</v>
      </c>
      <c r="D24" s="468">
        <v>1.0213995381094962</v>
      </c>
      <c r="E24" s="458"/>
      <c r="F24" s="460">
        <v>1.0296000000000001</v>
      </c>
      <c r="G24" s="461">
        <v>-7.9647065758584601E-3</v>
      </c>
    </row>
    <row r="25" spans="2:7" ht="15.75" thickBot="1" x14ac:dyDescent="0.3">
      <c r="B25" s="693"/>
      <c r="C25" s="466" t="s">
        <v>279</v>
      </c>
      <c r="D25" s="469">
        <v>0.66993700549856272</v>
      </c>
      <c r="E25" s="458"/>
      <c r="F25" s="460">
        <v>0.66690000000000005</v>
      </c>
      <c r="G25" s="461">
        <v>4.5539143778117186E-3</v>
      </c>
    </row>
    <row r="26" spans="2:7" ht="15" customHeight="1" thickBot="1" x14ac:dyDescent="0.3">
      <c r="B26" s="691" t="s">
        <v>288</v>
      </c>
      <c r="C26" s="462" t="s">
        <v>281</v>
      </c>
      <c r="D26" s="463" t="s">
        <v>276</v>
      </c>
      <c r="E26" s="458"/>
      <c r="F26" s="459" t="s">
        <v>277</v>
      </c>
      <c r="G26" s="459" t="s">
        <v>278</v>
      </c>
    </row>
    <row r="27" spans="2:7" ht="16.5" thickBot="1" x14ac:dyDescent="0.3">
      <c r="B27" s="692"/>
      <c r="C27" s="464" t="s">
        <v>279</v>
      </c>
      <c r="D27" s="483">
        <v>1.0265582930951014</v>
      </c>
      <c r="E27" s="458"/>
      <c r="F27" s="480">
        <v>1.0296000000000001</v>
      </c>
      <c r="G27" s="481">
        <v>-2.9542607856436476E-3</v>
      </c>
    </row>
    <row r="28" spans="2:7" ht="15.75" thickBot="1" x14ac:dyDescent="0.3">
      <c r="B28" s="693"/>
      <c r="C28" s="465" t="s">
        <v>279</v>
      </c>
      <c r="D28" s="470">
        <v>0.60287151718421295</v>
      </c>
      <c r="E28" s="458"/>
      <c r="F28" s="460">
        <v>0.66690000000000005</v>
      </c>
      <c r="G28" s="461">
        <v>-9.6009121031319644E-2</v>
      </c>
    </row>
    <row r="29" spans="2:7" ht="15.75" thickBot="1" x14ac:dyDescent="0.3"/>
    <row r="30" spans="2:7" ht="16.5" thickBot="1" x14ac:dyDescent="0.3">
      <c r="B30" s="688" t="s">
        <v>280</v>
      </c>
      <c r="C30" s="462" t="s">
        <v>275</v>
      </c>
      <c r="D30" s="463" t="s">
        <v>276</v>
      </c>
      <c r="E30" s="458"/>
      <c r="F30" s="459" t="s">
        <v>277</v>
      </c>
      <c r="G30" s="459" t="s">
        <v>278</v>
      </c>
    </row>
    <row r="31" spans="2:7" ht="15.75" thickBot="1" x14ac:dyDescent="0.3">
      <c r="B31" s="689"/>
      <c r="C31" s="464" t="s">
        <v>279</v>
      </c>
      <c r="D31" s="468">
        <v>0.1027845519154113</v>
      </c>
      <c r="E31" s="458"/>
      <c r="F31" s="460">
        <v>0.10098</v>
      </c>
      <c r="G31" s="461">
        <v>1.787038933859475E-2</v>
      </c>
    </row>
    <row r="32" spans="2:7" ht="16.5" thickBot="1" x14ac:dyDescent="0.3">
      <c r="B32" s="690"/>
      <c r="C32" s="466" t="s">
        <v>279</v>
      </c>
      <c r="D32" s="482">
        <v>0.15478727990594754</v>
      </c>
      <c r="E32" s="458"/>
      <c r="F32" s="480">
        <v>0.15592500000000001</v>
      </c>
      <c r="G32" s="481">
        <v>-7.2965854997752988E-3</v>
      </c>
    </row>
    <row r="33" spans="2:7" ht="16.5" thickBot="1" x14ac:dyDescent="0.3">
      <c r="B33" s="688" t="s">
        <v>282</v>
      </c>
      <c r="C33" s="462" t="s">
        <v>281</v>
      </c>
      <c r="D33" s="463" t="s">
        <v>276</v>
      </c>
      <c r="E33" s="458"/>
      <c r="F33" s="459" t="s">
        <v>277</v>
      </c>
      <c r="G33" s="459" t="s">
        <v>278</v>
      </c>
    </row>
    <row r="34" spans="2:7" ht="15.75" thickBot="1" x14ac:dyDescent="0.3">
      <c r="B34" s="689"/>
      <c r="C34" s="464" t="s">
        <v>279</v>
      </c>
      <c r="D34" s="468">
        <v>0.10277460528889765</v>
      </c>
      <c r="E34" s="458"/>
      <c r="F34" s="460">
        <v>0.10098</v>
      </c>
      <c r="G34" s="461">
        <v>1.7771888382824841E-2</v>
      </c>
    </row>
    <row r="35" spans="2:7" ht="15.75" thickBot="1" x14ac:dyDescent="0.3">
      <c r="B35" s="690"/>
      <c r="C35" s="465" t="s">
        <v>279</v>
      </c>
      <c r="D35" s="470">
        <v>0.15471732918377304</v>
      </c>
      <c r="E35" s="458"/>
      <c r="F35" s="460">
        <v>0.15592500000000001</v>
      </c>
      <c r="G35" s="461">
        <v>-7.7452032466055476E-3</v>
      </c>
    </row>
  </sheetData>
  <mergeCells count="10">
    <mergeCell ref="B30:B32"/>
    <mergeCell ref="B33:B35"/>
    <mergeCell ref="B9:B11"/>
    <mergeCell ref="B12:B14"/>
    <mergeCell ref="B2:B4"/>
    <mergeCell ref="B5:B7"/>
    <mergeCell ref="B23:B25"/>
    <mergeCell ref="B26:B28"/>
    <mergeCell ref="B16:B18"/>
    <mergeCell ref="B19:B2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="160" zoomScaleNormal="160" workbookViewId="0">
      <selection activeCell="B2" sqref="B2:D2"/>
    </sheetView>
  </sheetViews>
  <sheetFormatPr baseColWidth="10" defaultRowHeight="15" x14ac:dyDescent="0.25"/>
  <cols>
    <col min="1" max="1" width="2.7109375" customWidth="1"/>
    <col min="2" max="2" width="30.7109375" bestFit="1" customWidth="1"/>
    <col min="3" max="3" width="19.140625" bestFit="1" customWidth="1"/>
    <col min="4" max="4" width="19.85546875" bestFit="1" customWidth="1"/>
  </cols>
  <sheetData>
    <row r="1" spans="2:5" ht="6" customHeight="1" thickBot="1" x14ac:dyDescent="0.3"/>
    <row r="2" spans="2:5" ht="19.5" thickBot="1" x14ac:dyDescent="0.35">
      <c r="B2" s="628" t="s">
        <v>318</v>
      </c>
      <c r="C2" s="629"/>
      <c r="D2" s="630"/>
    </row>
    <row r="3" spans="2:5" ht="15.75" x14ac:dyDescent="0.25">
      <c r="B3" s="525" t="s">
        <v>294</v>
      </c>
      <c r="C3" s="525" t="s">
        <v>316</v>
      </c>
      <c r="D3" s="525" t="s">
        <v>315</v>
      </c>
      <c r="E3" s="525" t="s">
        <v>317</v>
      </c>
    </row>
    <row r="4" spans="2:5" x14ac:dyDescent="0.25">
      <c r="B4" s="523" t="s">
        <v>295</v>
      </c>
      <c r="C4" s="528">
        <f ca="1">Schedule!V28</f>
        <v>33.340786131397699</v>
      </c>
      <c r="D4" s="528">
        <f ca="1">Schedule!V32</f>
        <v>33.340786131397699</v>
      </c>
      <c r="E4" s="528">
        <f ca="1">C4-D4</f>
        <v>0</v>
      </c>
    </row>
    <row r="5" spans="2:5" x14ac:dyDescent="0.25">
      <c r="B5" s="523" t="str">
        <f>Calculations!B3</f>
        <v>Excavation</v>
      </c>
      <c r="C5" s="528">
        <f ca="1">Calculations!L3</f>
        <v>5.6055694207901139</v>
      </c>
      <c r="D5" s="528">
        <f ca="1">Calculations!M3</f>
        <v>5.6055694207901139</v>
      </c>
      <c r="E5" s="528">
        <f t="shared" ref="E5:E10" ca="1" si="0">C5-D5</f>
        <v>0</v>
      </c>
    </row>
    <row r="6" spans="2:5" x14ac:dyDescent="0.25">
      <c r="B6" s="523" t="str">
        <f>Calculations!B4</f>
        <v xml:space="preserve">Blinding lean concrete </v>
      </c>
      <c r="C6" s="528">
        <f ca="1">Calculations!L5</f>
        <v>2.3325633742101428</v>
      </c>
      <c r="D6" s="528">
        <f ca="1">Calculations!M5</f>
        <v>2.3325633742101428</v>
      </c>
      <c r="E6" s="528">
        <f t="shared" ca="1" si="0"/>
        <v>0</v>
      </c>
    </row>
    <row r="7" spans="2:5" x14ac:dyDescent="0.25">
      <c r="B7" s="523" t="str">
        <f>Calculations!B7</f>
        <v>Concrete (Foundation)</v>
      </c>
      <c r="C7" s="528">
        <f ca="1">Calculations!L7</f>
        <v>16.854837391666845</v>
      </c>
      <c r="D7" s="528">
        <f ca="1">Calculations!M7</f>
        <v>16.854837391666845</v>
      </c>
      <c r="E7" s="528">
        <f t="shared" ca="1" si="0"/>
        <v>0</v>
      </c>
    </row>
    <row r="8" spans="2:5" x14ac:dyDescent="0.25">
      <c r="B8" s="523" t="str">
        <f>Calculations!B9</f>
        <v>Concrete Columns</v>
      </c>
      <c r="C8" s="528">
        <f ca="1">Calculations!L9</f>
        <v>11.222222222222221</v>
      </c>
      <c r="D8" s="528">
        <f ca="1">Calculations!M9</f>
        <v>11.222222222222221</v>
      </c>
      <c r="E8" s="528">
        <f t="shared" ca="1" si="0"/>
        <v>0</v>
      </c>
    </row>
    <row r="9" spans="2:5" x14ac:dyDescent="0.25">
      <c r="B9" s="527" t="str">
        <f>Calculations!B10</f>
        <v>Brick masonry</v>
      </c>
      <c r="C9" s="529">
        <f ca="1">Calculations!L10</f>
        <v>8.3407861313976994</v>
      </c>
      <c r="D9" s="529">
        <f ca="1">Calculations!M10</f>
        <v>8.3407861313976994</v>
      </c>
      <c r="E9" s="529">
        <f t="shared" ca="1" si="0"/>
        <v>0</v>
      </c>
    </row>
    <row r="10" spans="2:5" ht="15.75" thickBot="1" x14ac:dyDescent="0.3">
      <c r="B10" s="520" t="str">
        <f>Calculations!B11</f>
        <v>Backfill</v>
      </c>
      <c r="C10" s="194">
        <f ca="1">Calculations!L11</f>
        <v>2.1259065474582481</v>
      </c>
      <c r="D10" s="194">
        <f ca="1">Calculations!M11</f>
        <v>2.1259065474582481</v>
      </c>
      <c r="E10" s="194">
        <f t="shared" ca="1" si="0"/>
        <v>0</v>
      </c>
    </row>
    <row r="11" spans="2:5" ht="15.75" x14ac:dyDescent="0.25">
      <c r="B11" s="525" t="s">
        <v>186</v>
      </c>
      <c r="C11" s="525" t="s">
        <v>94</v>
      </c>
      <c r="D11" s="525"/>
    </row>
    <row r="12" spans="2:5" x14ac:dyDescent="0.25">
      <c r="B12" s="523" t="s">
        <v>142</v>
      </c>
      <c r="C12" s="524">
        <f ca="1">'Example Wall 4.0 m'!V24</f>
        <v>325996.96061369026</v>
      </c>
      <c r="D12" s="524"/>
    </row>
    <row r="13" spans="2:5" x14ac:dyDescent="0.25">
      <c r="B13" s="521" t="s">
        <v>300</v>
      </c>
      <c r="C13" s="522">
        <f ca="1">C15-C12</f>
        <v>0</v>
      </c>
      <c r="D13" s="392"/>
    </row>
    <row r="14" spans="2:5" x14ac:dyDescent="0.25">
      <c r="B14" s="521" t="s">
        <v>298</v>
      </c>
      <c r="C14" s="358">
        <f ca="1">_xll.RiskPercentile('Example Wall 4.0 m'!$V$24,0.1)</f>
        <v>325996.96061369026</v>
      </c>
      <c r="D14" s="530"/>
    </row>
    <row r="15" spans="2:5" x14ac:dyDescent="0.25">
      <c r="B15" s="521" t="s">
        <v>297</v>
      </c>
      <c r="C15" s="358">
        <f ca="1">_xll.RiskPercentile('Example Wall 4.0 m'!$V$24,0.45)</f>
        <v>325996.96061369026</v>
      </c>
      <c r="D15" s="530"/>
    </row>
    <row r="16" spans="2:5" ht="15.75" thickBot="1" x14ac:dyDescent="0.3">
      <c r="B16" s="520" t="s">
        <v>299</v>
      </c>
      <c r="C16" s="360">
        <f ca="1">_xll.RiskPercentile('Example Wall 4.0 m'!$V$24,0.9)</f>
        <v>325996.96061369026</v>
      </c>
      <c r="D16" s="531"/>
    </row>
    <row r="17" spans="2:4" ht="15.75" x14ac:dyDescent="0.25">
      <c r="B17" s="519" t="s">
        <v>190</v>
      </c>
      <c r="C17" s="393" t="s">
        <v>171</v>
      </c>
      <c r="D17" s="393" t="s">
        <v>125</v>
      </c>
    </row>
    <row r="18" spans="2:4" x14ac:dyDescent="0.25">
      <c r="B18" s="394" t="s">
        <v>90</v>
      </c>
      <c r="C18" s="391">
        <f ca="1">Calculations!AC23</f>
        <v>3041.9749741928076</v>
      </c>
      <c r="D18" s="397">
        <f ca="1">Calculations!AC22</f>
        <v>1</v>
      </c>
    </row>
    <row r="19" spans="2:4" x14ac:dyDescent="0.25">
      <c r="B19" s="395" t="s">
        <v>309</v>
      </c>
      <c r="C19" s="392">
        <f ca="1">Calculations!AC33</f>
        <v>4486.5126748420289</v>
      </c>
      <c r="D19" s="398">
        <f ca="1">Calculations!AC32</f>
        <v>1</v>
      </c>
    </row>
    <row r="20" spans="2:4" x14ac:dyDescent="0.25">
      <c r="B20" s="395" t="s">
        <v>310</v>
      </c>
      <c r="C20" s="392">
        <f ca="1">Calculations!AC53</f>
        <v>27638.921888888886</v>
      </c>
      <c r="D20" s="398">
        <f ca="1">Calculations!AC52</f>
        <v>1</v>
      </c>
    </row>
    <row r="21" spans="2:4" x14ac:dyDescent="0.25">
      <c r="B21" s="395" t="s">
        <v>311</v>
      </c>
      <c r="C21" s="392">
        <f ca="1">Calculations!AC43</f>
        <v>50786.567478333367</v>
      </c>
      <c r="D21" s="398">
        <f ca="1">Calculations!AC42</f>
        <v>1</v>
      </c>
    </row>
    <row r="22" spans="2:4" x14ac:dyDescent="0.25">
      <c r="B22" s="395" t="s">
        <v>296</v>
      </c>
      <c r="C22" s="392">
        <f ca="1">Calculations!AH23</f>
        <v>27148.157226279538</v>
      </c>
      <c r="D22" s="398">
        <f ca="1">Calculations!AH22</f>
        <v>1</v>
      </c>
    </row>
    <row r="23" spans="2:4" ht="15.75" thickBot="1" x14ac:dyDescent="0.3">
      <c r="B23" s="396" t="s">
        <v>312</v>
      </c>
      <c r="C23" s="373">
        <f ca="1">Calculations!AH33</f>
        <v>425.18130949164964</v>
      </c>
      <c r="D23" s="399">
        <f ca="1">Calculations!AH32</f>
        <v>1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Example Wall 4.0 m</vt:lpstr>
      <vt:lpstr>RiskSerializationData</vt:lpstr>
      <vt:lpstr>Schedule</vt:lpstr>
      <vt:lpstr>Calculations</vt:lpstr>
      <vt:lpstr>Inputs</vt:lpstr>
      <vt:lpstr>NN-Predictions</vt:lpstr>
      <vt:lpstr>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Görres</dc:creator>
  <cp:lastModifiedBy>Sandoval</cp:lastModifiedBy>
  <cp:lastPrinted>2010-09-02T11:48:20Z</cp:lastPrinted>
  <dcterms:created xsi:type="dcterms:W3CDTF">2010-01-30T08:21:03Z</dcterms:created>
  <dcterms:modified xsi:type="dcterms:W3CDTF">2011-05-30T13:06:46Z</dcterms:modified>
</cp:coreProperties>
</file>